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dolfovanzini/Library/CloudStorage/GoogleDrive-rodolfo.vanzini@gmail.com/My Drive/EIMF/Financial markets/"/>
    </mc:Choice>
  </mc:AlternateContent>
  <xr:revisionPtr revIDLastSave="0" documentId="13_ncr:1_{65E39935-A33E-CA4A-BA21-A532EA78D0D5}" xr6:coauthVersionLast="47" xr6:coauthVersionMax="47" xr10:uidLastSave="{00000000-0000-0000-0000-000000000000}"/>
  <bookViews>
    <workbookView xWindow="6000" yWindow="1480" windowWidth="28800" windowHeight="16300" activeTab="1" xr2:uid="{9487C813-2DEF-D945-BACD-3FD6EA7B21EF}"/>
  </bookViews>
  <sheets>
    <sheet name="Sheet4" sheetId="10" r:id="rId1"/>
    <sheet name="CashFlowMatching" sheetId="11" r:id="rId2"/>
    <sheet name="IT0005094088" sheetId="4" r:id="rId3"/>
    <sheet name="IT0005619546" sheetId="5" r:id="rId4"/>
    <sheet name="IT0005422891" sheetId="6" r:id="rId5"/>
    <sheet name="IT0005580094" sheetId="7" r:id="rId6"/>
    <sheet name="IT0005704868" sheetId="2" r:id="rId7"/>
    <sheet name="Stagger" sheetId="3" r:id="rId8"/>
    <sheet name="IT0005707614" sheetId="1" r:id="rId9"/>
  </sheets>
  <definedNames>
    <definedName name="solver_adj" localSheetId="0" hidden="1">Sheet4!$F$3:$Z$3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itr" localSheetId="0" hidden="1">2147483647</definedName>
    <definedName name="solver_lhs1" localSheetId="0" hidden="1">Sheet4!$E$28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opt" localSheetId="0" hidden="1">Sheet4!$E$27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1" l="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V2" i="11"/>
  <c r="W2" i="11"/>
  <c r="Y2" i="11"/>
  <c r="E2" i="11"/>
  <c r="A4" i="11"/>
  <c r="B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Y4" i="11"/>
  <c r="A5" i="11"/>
  <c r="B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V5" i="11"/>
  <c r="W5" i="11"/>
  <c r="X5" i="11"/>
  <c r="Y5" i="11"/>
  <c r="A6" i="11"/>
  <c r="B6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A7" i="11"/>
  <c r="B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V7" i="11"/>
  <c r="W7" i="11"/>
  <c r="X7" i="11"/>
  <c r="Y7" i="11"/>
  <c r="A8" i="11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A9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A10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A11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A12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A13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A14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A15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A16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A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A18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A19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A20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A21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A22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A23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U1" i="11"/>
  <c r="V1" i="11"/>
  <c r="W1" i="11"/>
  <c r="X1" i="11"/>
  <c r="Y1" i="11"/>
  <c r="V3" i="11"/>
  <c r="W3" i="11"/>
  <c r="X3" i="11"/>
  <c r="Y3" i="11"/>
  <c r="R1" i="11"/>
  <c r="S1" i="11"/>
  <c r="T1" i="11"/>
  <c r="R3" i="11"/>
  <c r="S3" i="11"/>
  <c r="T3" i="11"/>
  <c r="F1" i="11"/>
  <c r="G1" i="11"/>
  <c r="H1" i="11"/>
  <c r="I1" i="11"/>
  <c r="J1" i="11"/>
  <c r="K1" i="11"/>
  <c r="L1" i="11"/>
  <c r="M1" i="11"/>
  <c r="N1" i="11"/>
  <c r="O1" i="11"/>
  <c r="P1" i="11"/>
  <c r="Q1" i="11"/>
  <c r="F3" i="11"/>
  <c r="G3" i="11"/>
  <c r="H3" i="11"/>
  <c r="I3" i="11"/>
  <c r="J3" i="11"/>
  <c r="K3" i="11"/>
  <c r="L3" i="11"/>
  <c r="M3" i="11"/>
  <c r="N3" i="11"/>
  <c r="O3" i="11"/>
  <c r="P3" i="11"/>
  <c r="Q3" i="11"/>
  <c r="E3" i="11"/>
  <c r="E1" i="11"/>
  <c r="D1" i="11"/>
  <c r="A3" i="11"/>
  <c r="B3" i="11"/>
  <c r="A2" i="11"/>
  <c r="B1" i="11"/>
  <c r="A1" i="11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C22" i="10"/>
  <c r="AB22" i="10"/>
  <c r="AC21" i="10"/>
  <c r="AB21" i="10"/>
  <c r="AC20" i="10"/>
  <c r="AB20" i="10"/>
  <c r="AC19" i="10"/>
  <c r="AB19" i="10"/>
  <c r="AC18" i="10"/>
  <c r="AB18" i="10"/>
  <c r="AC17" i="10"/>
  <c r="AB17" i="10"/>
  <c r="AC16" i="10"/>
  <c r="AB16" i="10"/>
  <c r="AC15" i="10"/>
  <c r="AB15" i="10"/>
  <c r="AC14" i="10"/>
  <c r="AB14" i="10"/>
  <c r="AC13" i="10"/>
  <c r="AB13" i="10"/>
  <c r="AC12" i="10"/>
  <c r="AB12" i="10"/>
  <c r="AC11" i="10"/>
  <c r="AB11" i="10"/>
  <c r="AC10" i="10"/>
  <c r="AB10" i="10"/>
  <c r="AC9" i="10"/>
  <c r="AB9" i="10"/>
  <c r="AC8" i="10"/>
  <c r="AB8" i="10"/>
  <c r="AC7" i="10"/>
  <c r="AB7" i="10"/>
  <c r="AC6" i="10"/>
  <c r="AB6" i="10"/>
  <c r="AC5" i="10"/>
  <c r="AB5" i="10"/>
  <c r="AC4" i="10"/>
  <c r="AB4" i="10"/>
  <c r="AC3" i="10"/>
  <c r="AB3" i="10"/>
  <c r="AC2" i="10"/>
  <c r="AB2" i="10"/>
  <c r="B32" i="10"/>
  <c r="Z4" i="10"/>
  <c r="Z5" i="10" s="1"/>
  <c r="Y6" i="10"/>
  <c r="X4" i="11" s="1"/>
  <c r="Y4" i="10"/>
  <c r="X2" i="11" s="1"/>
  <c r="X5" i="10"/>
  <c r="X7" i="10"/>
  <c r="X4" i="10"/>
  <c r="W6" i="10"/>
  <c r="W8" i="10"/>
  <c r="W4" i="10"/>
  <c r="V5" i="10"/>
  <c r="U3" i="11" s="1"/>
  <c r="V7" i="10"/>
  <c r="U5" i="11" s="1"/>
  <c r="V9" i="10"/>
  <c r="U7" i="11" s="1"/>
  <c r="V4" i="10"/>
  <c r="U2" i="11" s="1"/>
  <c r="U6" i="10"/>
  <c r="U8" i="10"/>
  <c r="U10" i="10"/>
  <c r="U4" i="10"/>
  <c r="T5" i="10"/>
  <c r="T7" i="10"/>
  <c r="T9" i="10"/>
  <c r="T11" i="10"/>
  <c r="T4" i="10"/>
  <c r="S6" i="10"/>
  <c r="S8" i="10"/>
  <c r="S10" i="10"/>
  <c r="S12" i="10"/>
  <c r="S4" i="10"/>
  <c r="R5" i="10"/>
  <c r="R7" i="10"/>
  <c r="R9" i="10"/>
  <c r="R11" i="10"/>
  <c r="R13" i="10"/>
  <c r="R4" i="10"/>
  <c r="Q6" i="10"/>
  <c r="Q8" i="10"/>
  <c r="Q10" i="10"/>
  <c r="Q12" i="10"/>
  <c r="Q14" i="10"/>
  <c r="Q4" i="10"/>
  <c r="P5" i="10"/>
  <c r="P7" i="10"/>
  <c r="P9" i="10"/>
  <c r="P11" i="10"/>
  <c r="P13" i="10"/>
  <c r="P15" i="10"/>
  <c r="P4" i="10"/>
  <c r="O6" i="10"/>
  <c r="O8" i="10"/>
  <c r="O10" i="10"/>
  <c r="O12" i="10"/>
  <c r="O14" i="10"/>
  <c r="O16" i="10"/>
  <c r="O4" i="10"/>
  <c r="N5" i="10"/>
  <c r="N7" i="10"/>
  <c r="N9" i="10"/>
  <c r="N11" i="10"/>
  <c r="N13" i="10"/>
  <c r="N15" i="10"/>
  <c r="N17" i="10"/>
  <c r="N4" i="10"/>
  <c r="L5" i="10"/>
  <c r="L7" i="10"/>
  <c r="L9" i="10"/>
  <c r="L11" i="10"/>
  <c r="L13" i="10"/>
  <c r="L15" i="10"/>
  <c r="L17" i="10"/>
  <c r="L19" i="10"/>
  <c r="L4" i="10"/>
  <c r="M6" i="10"/>
  <c r="M8" i="10"/>
  <c r="M10" i="10"/>
  <c r="M12" i="10"/>
  <c r="M14" i="10"/>
  <c r="M16" i="10"/>
  <c r="M18" i="10"/>
  <c r="M4" i="10"/>
  <c r="K6" i="10"/>
  <c r="K8" i="10"/>
  <c r="K10" i="10"/>
  <c r="K12" i="10"/>
  <c r="K14" i="10"/>
  <c r="K16" i="10"/>
  <c r="K18" i="10"/>
  <c r="K20" i="10"/>
  <c r="K4" i="10"/>
  <c r="J5" i="10"/>
  <c r="J7" i="10"/>
  <c r="J9" i="10"/>
  <c r="J11" i="10"/>
  <c r="J13" i="10"/>
  <c r="J15" i="10"/>
  <c r="J17" i="10"/>
  <c r="J19" i="10"/>
  <c r="J21" i="10"/>
  <c r="J4" i="10"/>
  <c r="I6" i="10"/>
  <c r="I8" i="10"/>
  <c r="I10" i="10"/>
  <c r="I12" i="10"/>
  <c r="I14" i="10"/>
  <c r="I16" i="10"/>
  <c r="I18" i="10"/>
  <c r="I20" i="10"/>
  <c r="I22" i="10"/>
  <c r="I4" i="10"/>
  <c r="H4" i="10"/>
  <c r="H5" i="10"/>
  <c r="H7" i="10"/>
  <c r="H9" i="10"/>
  <c r="H11" i="10"/>
  <c r="H13" i="10"/>
  <c r="H15" i="10"/>
  <c r="H17" i="10"/>
  <c r="H19" i="10"/>
  <c r="H21" i="10"/>
  <c r="H23" i="10"/>
  <c r="G24" i="10"/>
  <c r="C24" i="10" s="1"/>
  <c r="D24" i="10" s="1"/>
  <c r="G4" i="10"/>
  <c r="G6" i="10"/>
  <c r="G8" i="10"/>
  <c r="G10" i="10"/>
  <c r="G12" i="10"/>
  <c r="G14" i="10"/>
  <c r="G16" i="10"/>
  <c r="G18" i="10"/>
  <c r="G20" i="10"/>
  <c r="G22" i="10"/>
  <c r="F4" i="10"/>
  <c r="F9" i="10"/>
  <c r="F7" i="10"/>
  <c r="F5" i="10"/>
  <c r="F11" i="10"/>
  <c r="F13" i="10"/>
  <c r="F15" i="10"/>
  <c r="F17" i="10"/>
  <c r="F19" i="10"/>
  <c r="F21" i="10"/>
  <c r="F23" i="10"/>
  <c r="F25" i="10"/>
  <c r="C25" i="10" s="1"/>
  <c r="D25" i="10" s="1"/>
  <c r="E1" i="4"/>
  <c r="D5" i="4" s="1"/>
  <c r="E1" i="1"/>
  <c r="D5" i="1" s="1"/>
  <c r="E1" i="5"/>
  <c r="D3" i="5" s="1"/>
  <c r="E1" i="6"/>
  <c r="D4" i="6" s="1"/>
  <c r="E1" i="7"/>
  <c r="D5" i="7" s="1"/>
  <c r="B15" i="4"/>
  <c r="B6" i="7"/>
  <c r="B7" i="7" s="1"/>
  <c r="C5" i="7"/>
  <c r="C4" i="7"/>
  <c r="E4" i="7" s="1"/>
  <c r="C3" i="7"/>
  <c r="E2" i="7"/>
  <c r="D2" i="7"/>
  <c r="B6" i="6"/>
  <c r="B7" i="6" s="1"/>
  <c r="C5" i="6"/>
  <c r="C4" i="6"/>
  <c r="C3" i="6"/>
  <c r="E2" i="6"/>
  <c r="D2" i="6"/>
  <c r="B5" i="5"/>
  <c r="B6" i="5" s="1"/>
  <c r="C4" i="5"/>
  <c r="C3" i="5"/>
  <c r="E2" i="5"/>
  <c r="D2" i="5"/>
  <c r="C4" i="4"/>
  <c r="B6" i="4"/>
  <c r="B7" i="4" s="1"/>
  <c r="C5" i="4"/>
  <c r="C3" i="4"/>
  <c r="E2" i="4"/>
  <c r="D2" i="4"/>
  <c r="B2" i="3"/>
  <c r="B3" i="3"/>
  <c r="B4" i="3"/>
  <c r="B5" i="3"/>
  <c r="B6" i="3"/>
  <c r="B1" i="3"/>
  <c r="D5" i="2"/>
  <c r="C5" i="2"/>
  <c r="E5" i="2" s="1"/>
  <c r="D4" i="2"/>
  <c r="C4" i="2"/>
  <c r="E4" i="2" s="1"/>
  <c r="D3" i="2"/>
  <c r="C3" i="2"/>
  <c r="E3" i="2" s="1"/>
  <c r="E2" i="2"/>
  <c r="D2" i="2"/>
  <c r="D4" i="1"/>
  <c r="D3" i="1"/>
  <c r="E2" i="1"/>
  <c r="D2" i="1"/>
  <c r="C5" i="1"/>
  <c r="C8" i="1"/>
  <c r="E8" i="1" s="1"/>
  <c r="C9" i="1"/>
  <c r="C12" i="1"/>
  <c r="C13" i="1"/>
  <c r="E3" i="1"/>
  <c r="C4" i="1"/>
  <c r="E4" i="1" s="1"/>
  <c r="C3" i="1"/>
  <c r="B5" i="1"/>
  <c r="B6" i="1" s="1"/>
  <c r="B7" i="1" s="1"/>
  <c r="B8" i="1" s="1"/>
  <c r="B9" i="1" s="1"/>
  <c r="B10" i="1" s="1"/>
  <c r="B11" i="1" s="1"/>
  <c r="B12" i="1" s="1"/>
  <c r="B13" i="1" s="1"/>
  <c r="B14" i="1" s="1"/>
  <c r="C14" i="1" s="1"/>
  <c r="C23" i="10" l="1"/>
  <c r="D23" i="10" s="1"/>
  <c r="C17" i="10"/>
  <c r="C22" i="10"/>
  <c r="AD21" i="10"/>
  <c r="AD22" i="10"/>
  <c r="C21" i="10"/>
  <c r="C20" i="10"/>
  <c r="C19" i="10"/>
  <c r="C18" i="10"/>
  <c r="C15" i="10"/>
  <c r="C16" i="10"/>
  <c r="C14" i="10"/>
  <c r="C11" i="10"/>
  <c r="C13" i="10"/>
  <c r="C12" i="10"/>
  <c r="C10" i="10"/>
  <c r="C8" i="10"/>
  <c r="C9" i="10"/>
  <c r="C7" i="11" s="1"/>
  <c r="C7" i="10"/>
  <c r="C5" i="11" s="1"/>
  <c r="C6" i="10"/>
  <c r="C4" i="11" s="1"/>
  <c r="C5" i="10"/>
  <c r="C3" i="11" s="1"/>
  <c r="C4" i="10"/>
  <c r="E4" i="4"/>
  <c r="E3" i="4"/>
  <c r="D3" i="4"/>
  <c r="E5" i="4"/>
  <c r="E5" i="7"/>
  <c r="E3" i="7"/>
  <c r="D3" i="6"/>
  <c r="E5" i="6"/>
  <c r="D13" i="1"/>
  <c r="E14" i="1"/>
  <c r="E13" i="1"/>
  <c r="E5" i="1"/>
  <c r="E12" i="1"/>
  <c r="D9" i="1"/>
  <c r="E9" i="1"/>
  <c r="D4" i="5"/>
  <c r="E3" i="5"/>
  <c r="E4" i="5"/>
  <c r="E3" i="6"/>
  <c r="D5" i="6"/>
  <c r="E4" i="6"/>
  <c r="D4" i="7"/>
  <c r="D3" i="7"/>
  <c r="B8" i="7"/>
  <c r="D7" i="7"/>
  <c r="C7" i="7"/>
  <c r="E7" i="7" s="1"/>
  <c r="C6" i="7"/>
  <c r="E6" i="7" s="1"/>
  <c r="D6" i="7"/>
  <c r="C11" i="1"/>
  <c r="E11" i="1" s="1"/>
  <c r="C7" i="1"/>
  <c r="E7" i="1" s="1"/>
  <c r="D12" i="1"/>
  <c r="D8" i="1"/>
  <c r="C10" i="1"/>
  <c r="E10" i="1" s="1"/>
  <c r="C6" i="1"/>
  <c r="E6" i="1" s="1"/>
  <c r="E16" i="1" s="1"/>
  <c r="D11" i="1"/>
  <c r="D7" i="1"/>
  <c r="D14" i="1"/>
  <c r="D10" i="1"/>
  <c r="D6" i="1"/>
  <c r="B8" i="6"/>
  <c r="C8" i="6" s="1"/>
  <c r="D7" i="6"/>
  <c r="C7" i="6"/>
  <c r="E7" i="6" s="1"/>
  <c r="C6" i="6"/>
  <c r="E6" i="6" s="1"/>
  <c r="D6" i="6"/>
  <c r="B7" i="5"/>
  <c r="D6" i="5"/>
  <c r="C6" i="5"/>
  <c r="E6" i="5" s="1"/>
  <c r="C5" i="5"/>
  <c r="E5" i="5" s="1"/>
  <c r="D5" i="5"/>
  <c r="D4" i="4"/>
  <c r="C6" i="4"/>
  <c r="E6" i="4" s="1"/>
  <c r="B8" i="4"/>
  <c r="C7" i="4"/>
  <c r="E7" i="4" s="1"/>
  <c r="D7" i="4"/>
  <c r="D6" i="4"/>
  <c r="B6" i="2"/>
  <c r="C32" i="10" l="1"/>
  <c r="C2" i="11"/>
  <c r="AD20" i="10"/>
  <c r="D6" i="10"/>
  <c r="D4" i="11" s="1"/>
  <c r="AD3" i="10"/>
  <c r="D10" i="10"/>
  <c r="AD7" i="10"/>
  <c r="D14" i="10"/>
  <c r="AD11" i="10"/>
  <c r="D19" i="10"/>
  <c r="AD16" i="10"/>
  <c r="D7" i="10"/>
  <c r="D5" i="11" s="1"/>
  <c r="AD4" i="10"/>
  <c r="D12" i="10"/>
  <c r="AD9" i="10"/>
  <c r="D16" i="10"/>
  <c r="AD13" i="10"/>
  <c r="D20" i="10"/>
  <c r="AD17" i="10"/>
  <c r="D21" i="10"/>
  <c r="AD18" i="10"/>
  <c r="D9" i="10"/>
  <c r="D7" i="11" s="1"/>
  <c r="AD6" i="10"/>
  <c r="D13" i="10"/>
  <c r="AD10" i="10"/>
  <c r="D15" i="10"/>
  <c r="AD12" i="10"/>
  <c r="D22" i="10"/>
  <c r="AD19" i="10"/>
  <c r="D5" i="10"/>
  <c r="AD2" i="10"/>
  <c r="D8" i="10"/>
  <c r="AD5" i="10"/>
  <c r="D11" i="10"/>
  <c r="AD8" i="10"/>
  <c r="D18" i="10"/>
  <c r="AD15" i="10"/>
  <c r="D17" i="10"/>
  <c r="AD14" i="10"/>
  <c r="B35" i="10"/>
  <c r="B9" i="7"/>
  <c r="D8" i="7"/>
  <c r="C8" i="7"/>
  <c r="E8" i="7" s="1"/>
  <c r="B9" i="6"/>
  <c r="D8" i="6"/>
  <c r="E8" i="6"/>
  <c r="B8" i="5"/>
  <c r="D7" i="5"/>
  <c r="C7" i="5"/>
  <c r="E7" i="5" s="1"/>
  <c r="B9" i="4"/>
  <c r="C8" i="4"/>
  <c r="E8" i="4" s="1"/>
  <c r="D8" i="4"/>
  <c r="D6" i="2"/>
  <c r="C6" i="2"/>
  <c r="E6" i="2" s="1"/>
  <c r="B7" i="2"/>
  <c r="E5" i="10" l="1"/>
  <c r="D3" i="11"/>
  <c r="E12" i="10"/>
  <c r="AE9" i="10" s="1"/>
  <c r="E9" i="10"/>
  <c r="AE6" i="10" s="1"/>
  <c r="E25" i="10"/>
  <c r="AE22" i="10" s="1"/>
  <c r="E8" i="10"/>
  <c r="AE5" i="10" s="1"/>
  <c r="E21" i="10"/>
  <c r="AE18" i="10" s="1"/>
  <c r="E11" i="10"/>
  <c r="AE8" i="10" s="1"/>
  <c r="E24" i="10"/>
  <c r="AE21" i="10" s="1"/>
  <c r="E7" i="10"/>
  <c r="AE4" i="10" s="1"/>
  <c r="E18" i="10"/>
  <c r="AE15" i="10" s="1"/>
  <c r="E14" i="10"/>
  <c r="AE11" i="10" s="1"/>
  <c r="AE2" i="10"/>
  <c r="E17" i="10"/>
  <c r="AE14" i="10" s="1"/>
  <c r="E20" i="10"/>
  <c r="AE17" i="10" s="1"/>
  <c r="E19" i="10"/>
  <c r="AE16" i="10" s="1"/>
  <c r="E23" i="10"/>
  <c r="AE20" i="10" s="1"/>
  <c r="E10" i="10"/>
  <c r="AE7" i="10" s="1"/>
  <c r="D32" i="10"/>
  <c r="E13" i="10"/>
  <c r="AE10" i="10" s="1"/>
  <c r="E16" i="10"/>
  <c r="AE13" i="10" s="1"/>
  <c r="E15" i="10"/>
  <c r="AE12" i="10" s="1"/>
  <c r="E22" i="10"/>
  <c r="AE19" i="10" s="1"/>
  <c r="E6" i="10"/>
  <c r="AE3" i="10" s="1"/>
  <c r="B10" i="7"/>
  <c r="D9" i="7"/>
  <c r="C9" i="7"/>
  <c r="E9" i="7" s="1"/>
  <c r="B10" i="6"/>
  <c r="D9" i="6"/>
  <c r="C9" i="6"/>
  <c r="E9" i="6" s="1"/>
  <c r="B9" i="5"/>
  <c r="D8" i="5"/>
  <c r="C8" i="5"/>
  <c r="E8" i="5" s="1"/>
  <c r="B10" i="4"/>
  <c r="C9" i="4"/>
  <c r="E9" i="4" s="1"/>
  <c r="D9" i="4"/>
  <c r="D7" i="2"/>
  <c r="C7" i="2"/>
  <c r="E7" i="2" s="1"/>
  <c r="B8" i="2"/>
  <c r="E27" i="10" l="1"/>
  <c r="E28" i="10"/>
  <c r="B11" i="7"/>
  <c r="D10" i="7"/>
  <c r="C10" i="7"/>
  <c r="E10" i="7" s="1"/>
  <c r="B11" i="6"/>
  <c r="D10" i="6"/>
  <c r="C10" i="6"/>
  <c r="E10" i="6" s="1"/>
  <c r="B10" i="5"/>
  <c r="D9" i="5"/>
  <c r="C9" i="5"/>
  <c r="E9" i="5" s="1"/>
  <c r="B11" i="4"/>
  <c r="C10" i="4"/>
  <c r="E10" i="4" s="1"/>
  <c r="D10" i="4"/>
  <c r="D8" i="2"/>
  <c r="C8" i="2"/>
  <c r="E8" i="2" s="1"/>
  <c r="B9" i="2"/>
  <c r="B12" i="7" l="1"/>
  <c r="D11" i="7"/>
  <c r="C11" i="7"/>
  <c r="E11" i="7" s="1"/>
  <c r="B12" i="6"/>
  <c r="B13" i="6" s="1"/>
  <c r="C13" i="6" s="1"/>
  <c r="D11" i="6"/>
  <c r="C11" i="6"/>
  <c r="E11" i="6" s="1"/>
  <c r="B11" i="5"/>
  <c r="D10" i="5"/>
  <c r="C10" i="5"/>
  <c r="E10" i="5" s="1"/>
  <c r="B12" i="4"/>
  <c r="C11" i="4"/>
  <c r="E11" i="4" s="1"/>
  <c r="D11" i="4"/>
  <c r="D9" i="2"/>
  <c r="C9" i="2"/>
  <c r="E9" i="2" s="1"/>
  <c r="B10" i="2"/>
  <c r="B13" i="7" l="1"/>
  <c r="D12" i="7"/>
  <c r="C12" i="7"/>
  <c r="E12" i="7" s="1"/>
  <c r="D12" i="6"/>
  <c r="C12" i="6"/>
  <c r="E12" i="6" s="1"/>
  <c r="B12" i="5"/>
  <c r="D11" i="5"/>
  <c r="C11" i="5"/>
  <c r="E11" i="5" s="1"/>
  <c r="B13" i="4"/>
  <c r="C12" i="4"/>
  <c r="E12" i="4" s="1"/>
  <c r="D12" i="4"/>
  <c r="D10" i="2"/>
  <c r="C10" i="2"/>
  <c r="E10" i="2" s="1"/>
  <c r="B11" i="2"/>
  <c r="D13" i="7" l="1"/>
  <c r="C13" i="7"/>
  <c r="E13" i="7" s="1"/>
  <c r="B13" i="5"/>
  <c r="D12" i="5"/>
  <c r="C12" i="5"/>
  <c r="E12" i="5" s="1"/>
  <c r="B14" i="4"/>
  <c r="C15" i="4" s="1"/>
  <c r="C13" i="4"/>
  <c r="E13" i="4" s="1"/>
  <c r="D13" i="4"/>
  <c r="D11" i="2"/>
  <c r="C11" i="2"/>
  <c r="E11" i="2" s="1"/>
  <c r="B12" i="2"/>
  <c r="E18" i="7" l="1"/>
  <c r="B14" i="5"/>
  <c r="D13" i="5"/>
  <c r="C13" i="5"/>
  <c r="E13" i="5" s="1"/>
  <c r="C14" i="4"/>
  <c r="E14" i="4" s="1"/>
  <c r="D14" i="4"/>
  <c r="D12" i="2"/>
  <c r="C12" i="2"/>
  <c r="E12" i="2" s="1"/>
  <c r="B13" i="2"/>
  <c r="B18" i="2" l="1"/>
  <c r="B14" i="2"/>
  <c r="D14" i="5"/>
  <c r="C14" i="5"/>
  <c r="E14" i="5" s="1"/>
  <c r="E15" i="4"/>
  <c r="D15" i="4"/>
  <c r="D13" i="2"/>
  <c r="C13" i="2"/>
  <c r="E13" i="2" s="1"/>
  <c r="E18" i="4" l="1"/>
  <c r="E16" i="5"/>
  <c r="B15" i="2"/>
  <c r="C14" i="2"/>
  <c r="D18" i="2"/>
  <c r="C18" i="2"/>
  <c r="E18" i="2" s="1"/>
  <c r="D14" i="2"/>
  <c r="E14" i="2"/>
  <c r="E13" i="6"/>
  <c r="D13" i="6"/>
  <c r="B16" i="2" l="1"/>
  <c r="C15" i="2"/>
  <c r="E15" i="2" s="1"/>
  <c r="D15" i="2"/>
  <c r="E18" i="6"/>
  <c r="B17" i="2" l="1"/>
  <c r="D16" i="2"/>
  <c r="C16" i="2"/>
  <c r="E16" i="2" s="1"/>
  <c r="D17" i="2" l="1"/>
  <c r="C17" i="2"/>
  <c r="E17" i="2" s="1"/>
  <c r="E20" i="2" s="1"/>
</calcChain>
</file>

<file path=xl/sharedStrings.xml><?xml version="1.0" encoding="utf-8"?>
<sst xmlns="http://schemas.openxmlformats.org/spreadsheetml/2006/main" count="65" uniqueCount="45">
  <si>
    <t>Lordisti</t>
  </si>
  <si>
    <t>Nettisti</t>
  </si>
  <si>
    <t>Nominale</t>
  </si>
  <si>
    <t>IT0005707614</t>
  </si>
  <si>
    <t>IT0005704868</t>
  </si>
  <si>
    <t>IT0005094088</t>
  </si>
  <si>
    <t>x</t>
  </si>
  <si>
    <t>IT0005619546</t>
  </si>
  <si>
    <t>IT0005422891</t>
  </si>
  <si>
    <t>IT0005580094</t>
  </si>
  <si>
    <t>TIR</t>
  </si>
  <si>
    <t>Impegno</t>
  </si>
  <si>
    <t>IT0005595803 15/7/31 3,45%</t>
  </si>
  <si>
    <t>IT0005422891 01/04/31 0,90%</t>
  </si>
  <si>
    <t>Quotazione</t>
  </si>
  <si>
    <t>IT0005580094 1/3/2031 3,50%</t>
  </si>
  <si>
    <t>IT0005561888 15/11/30 4,0%</t>
  </si>
  <si>
    <t>IT0005403396 1/8/30 0,95%</t>
  </si>
  <si>
    <t>IT0005542797 14/6/30 3,70%</t>
  </si>
  <si>
    <t>IT0005519787 3,85% 15/12/29</t>
  </si>
  <si>
    <t>IT0005024234 3,50% 1/3/30</t>
  </si>
  <si>
    <t>IT0005716839 3,0% 15/9/29</t>
  </si>
  <si>
    <t>IT0005495731 2,80% 15/6/29</t>
  </si>
  <si>
    <t>IT0005689960 2,40% 15/3/29</t>
  </si>
  <si>
    <t>IT0005340929 2,80% 1/12/28</t>
  </si>
  <si>
    <t>IT0004889033 4,75% 1/9/28</t>
  </si>
  <si>
    <t>IT0005641029 2,65% 15/6/28</t>
  </si>
  <si>
    <t>IT0005433690 0,25% 15/3/28</t>
  </si>
  <si>
    <t>IT0005500068 2,65% 1/12/27</t>
  </si>
  <si>
    <t>IT0005416570 0,95% 15/9/27</t>
  </si>
  <si>
    <t>IT0005240830 2,20% 1/6/27</t>
  </si>
  <si>
    <t>IT0005633794 2,55% 25/2/27</t>
  </si>
  <si>
    <t>IT0005210650 1,25% 1/12/26</t>
  </si>
  <si>
    <t>Deficit/surplus</t>
  </si>
  <si>
    <t>Deficit/surplus cumulato</t>
  </si>
  <si>
    <t>Date</t>
  </si>
  <si>
    <t>Cumulative surplus/deficit</t>
  </si>
  <si>
    <t>Media</t>
  </si>
  <si>
    <t>Dev.st.</t>
  </si>
  <si>
    <t>Investimento iniziale</t>
  </si>
  <si>
    <t>Trimestri</t>
  </si>
  <si>
    <t>Asset portfolio (BTP) cash inflows</t>
  </si>
  <si>
    <t>Liability (Impegni trimestrali)</t>
  </si>
  <si>
    <t>Cash (in/out)</t>
  </si>
  <si>
    <t>IT0005669269 BOT zc 30/9/26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</si>
</sst>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164" formatCode="0.00000"/>
    <numFmt numFmtId="165" formatCode="0.000000"/>
    <numFmt numFmtId="166" formatCode="0.000"/>
    <numFmt numFmtId="167" formatCode="m/d/yy"/>
  </numFmts>
  <fonts count="2">
    <font>
      <sz val="11"/>
      <color theme="1"/>
      <name val="HelveticaNeue"/>
      <family val="2"/>
    </font>
    <font>
      <sz val="11"/>
      <color theme="4"/>
      <name val="Helvetica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165" fontId="1" fillId="0" borderId="0" xfId="0" applyNumberFormat="1" applyFont="1"/>
    <xf numFmtId="10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166" fontId="1" fillId="0" borderId="0" xfId="0" applyNumberFormat="1" applyFont="1"/>
    <xf numFmtId="8" fontId="0" fillId="0" borderId="0" xfId="0" applyNumberFormat="1"/>
    <xf numFmtId="6" fontId="0" fillId="0" borderId="0" xfId="0" applyNumberFormat="1"/>
    <xf numFmtId="3" fontId="0" fillId="0" borderId="0" xfId="0" applyNumberFormat="1" applyAlignment="1">
      <alignment horizontal="center" wrapText="1"/>
    </xf>
    <xf numFmtId="167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right" wrapText="1"/>
    </xf>
    <xf numFmtId="6" fontId="1" fillId="0" borderId="0" xfId="0" applyNumberFormat="1" applyFont="1"/>
    <xf numFmtId="3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Flow Matching — Asset Inflows vs Quarterly Liability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Sheet4!$AC$1</c:f>
              <c:strCache>
                <c:ptCount val="1"/>
                <c:pt idx="0">
                  <c:v>Liability (Impegni trimestrali)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Sheet4!$AB$2:$AB$22</c:f>
              <c:numCache>
                <c:formatCode>m/d/yy</c:formatCode>
                <c:ptCount val="21"/>
                <c:pt idx="0">
                  <c:v>46295</c:v>
                </c:pt>
                <c:pt idx="1">
                  <c:v>46387</c:v>
                </c:pt>
                <c:pt idx="2">
                  <c:v>46477</c:v>
                </c:pt>
                <c:pt idx="3">
                  <c:v>46568</c:v>
                </c:pt>
                <c:pt idx="4">
                  <c:v>46660</c:v>
                </c:pt>
                <c:pt idx="5">
                  <c:v>46752</c:v>
                </c:pt>
                <c:pt idx="6">
                  <c:v>46843</c:v>
                </c:pt>
                <c:pt idx="7">
                  <c:v>46934</c:v>
                </c:pt>
                <c:pt idx="8">
                  <c:v>47026</c:v>
                </c:pt>
                <c:pt idx="9">
                  <c:v>47118</c:v>
                </c:pt>
                <c:pt idx="10">
                  <c:v>47208</c:v>
                </c:pt>
                <c:pt idx="11">
                  <c:v>47299</c:v>
                </c:pt>
                <c:pt idx="12">
                  <c:v>47391</c:v>
                </c:pt>
                <c:pt idx="13">
                  <c:v>47483</c:v>
                </c:pt>
                <c:pt idx="14">
                  <c:v>47573</c:v>
                </c:pt>
                <c:pt idx="15">
                  <c:v>47664</c:v>
                </c:pt>
                <c:pt idx="16">
                  <c:v>47756</c:v>
                </c:pt>
                <c:pt idx="17">
                  <c:v>47848</c:v>
                </c:pt>
                <c:pt idx="18">
                  <c:v>47938</c:v>
                </c:pt>
                <c:pt idx="19">
                  <c:v>48029</c:v>
                </c:pt>
                <c:pt idx="20">
                  <c:v>48121</c:v>
                </c:pt>
              </c:numCache>
            </c:numRef>
          </c:cat>
          <c:val>
            <c:numRef>
              <c:f>Sheet4!$AC$2:$AC$22</c:f>
              <c:numCache>
                <c:formatCode>#,##0</c:formatCode>
                <c:ptCount val="21"/>
                <c:pt idx="0">
                  <c:v>15000</c:v>
                </c:pt>
                <c:pt idx="1">
                  <c:v>9000</c:v>
                </c:pt>
                <c:pt idx="2">
                  <c:v>12000</c:v>
                </c:pt>
                <c:pt idx="3">
                  <c:v>3000</c:v>
                </c:pt>
                <c:pt idx="4">
                  <c:v>12000</c:v>
                </c:pt>
                <c:pt idx="5">
                  <c:v>9000</c:v>
                </c:pt>
                <c:pt idx="6">
                  <c:v>12000</c:v>
                </c:pt>
                <c:pt idx="7">
                  <c:v>3000</c:v>
                </c:pt>
                <c:pt idx="8">
                  <c:v>12000</c:v>
                </c:pt>
                <c:pt idx="9">
                  <c:v>9000</c:v>
                </c:pt>
                <c:pt idx="10">
                  <c:v>12000</c:v>
                </c:pt>
                <c:pt idx="11">
                  <c:v>3000</c:v>
                </c:pt>
                <c:pt idx="12">
                  <c:v>12000</c:v>
                </c:pt>
                <c:pt idx="13">
                  <c:v>9000</c:v>
                </c:pt>
                <c:pt idx="14">
                  <c:v>12000</c:v>
                </c:pt>
                <c:pt idx="15">
                  <c:v>3000</c:v>
                </c:pt>
                <c:pt idx="16">
                  <c:v>15000</c:v>
                </c:pt>
                <c:pt idx="17">
                  <c:v>9000</c:v>
                </c:pt>
                <c:pt idx="18">
                  <c:v>9000</c:v>
                </c:pt>
                <c:pt idx="19">
                  <c:v>9000</c:v>
                </c:pt>
                <c:pt idx="20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4-E94E-B460-D9ED339920CA}"/>
            </c:ext>
          </c:extLst>
        </c:ser>
        <c:ser>
          <c:idx val="1"/>
          <c:order val="1"/>
          <c:tx>
            <c:strRef>
              <c:f>Sheet4!$AD$1</c:f>
              <c:strCache>
                <c:ptCount val="1"/>
                <c:pt idx="0">
                  <c:v>Asset portfolio (BTP) cash inflows</c:v>
                </c:pt>
              </c:strCache>
            </c:strRef>
          </c:tx>
          <c:spPr>
            <a:solidFill>
              <a:srgbClr val="156082"/>
            </a:solidFill>
            <a:ln>
              <a:noFill/>
            </a:ln>
            <a:effectLst/>
          </c:spPr>
          <c:invertIfNegative val="0"/>
          <c:cat>
            <c:numRef>
              <c:f>Sheet4!$AB$2:$AB$22</c:f>
              <c:numCache>
                <c:formatCode>m/d/yy</c:formatCode>
                <c:ptCount val="21"/>
                <c:pt idx="0">
                  <c:v>46295</c:v>
                </c:pt>
                <c:pt idx="1">
                  <c:v>46387</c:v>
                </c:pt>
                <c:pt idx="2">
                  <c:v>46477</c:v>
                </c:pt>
                <c:pt idx="3">
                  <c:v>46568</c:v>
                </c:pt>
                <c:pt idx="4">
                  <c:v>46660</c:v>
                </c:pt>
                <c:pt idx="5">
                  <c:v>46752</c:v>
                </c:pt>
                <c:pt idx="6">
                  <c:v>46843</c:v>
                </c:pt>
                <c:pt idx="7">
                  <c:v>46934</c:v>
                </c:pt>
                <c:pt idx="8">
                  <c:v>47026</c:v>
                </c:pt>
                <c:pt idx="9">
                  <c:v>47118</c:v>
                </c:pt>
                <c:pt idx="10">
                  <c:v>47208</c:v>
                </c:pt>
                <c:pt idx="11">
                  <c:v>47299</c:v>
                </c:pt>
                <c:pt idx="12">
                  <c:v>47391</c:v>
                </c:pt>
                <c:pt idx="13">
                  <c:v>47483</c:v>
                </c:pt>
                <c:pt idx="14">
                  <c:v>47573</c:v>
                </c:pt>
                <c:pt idx="15">
                  <c:v>47664</c:v>
                </c:pt>
                <c:pt idx="16">
                  <c:v>47756</c:v>
                </c:pt>
                <c:pt idx="17">
                  <c:v>47848</c:v>
                </c:pt>
                <c:pt idx="18">
                  <c:v>47938</c:v>
                </c:pt>
                <c:pt idx="19">
                  <c:v>48029</c:v>
                </c:pt>
                <c:pt idx="20">
                  <c:v>48121</c:v>
                </c:pt>
              </c:numCache>
            </c:numRef>
          </c:cat>
          <c:val>
            <c:numRef>
              <c:f>Sheet4!$AD$2:$AD$22</c:f>
              <c:numCache>
                <c:formatCode>#,##0</c:formatCode>
                <c:ptCount val="21"/>
                <c:pt idx="0">
                  <c:v>15133.76375</c:v>
                </c:pt>
                <c:pt idx="1">
                  <c:v>9717.3125</c:v>
                </c:pt>
                <c:pt idx="2">
                  <c:v>12143.40625</c:v>
                </c:pt>
                <c:pt idx="3">
                  <c:v>2668.09375</c:v>
                </c:pt>
                <c:pt idx="4">
                  <c:v>12020.6875</c:v>
                </c:pt>
                <c:pt idx="5">
                  <c:v>8648.84375</c:v>
                </c:pt>
                <c:pt idx="6">
                  <c:v>11974.96875</c:v>
                </c:pt>
                <c:pt idx="7">
                  <c:v>2556.09375</c:v>
                </c:pt>
                <c:pt idx="8">
                  <c:v>11962.9375</c:v>
                </c:pt>
                <c:pt idx="9">
                  <c:v>8532.90625</c:v>
                </c:pt>
                <c:pt idx="10">
                  <c:v>11734.34375</c:v>
                </c:pt>
                <c:pt idx="11">
                  <c:v>3434.90625</c:v>
                </c:pt>
                <c:pt idx="12">
                  <c:v>11618.84375</c:v>
                </c:pt>
                <c:pt idx="13">
                  <c:v>9398.15625</c:v>
                </c:pt>
                <c:pt idx="14">
                  <c:v>12474.46875</c:v>
                </c:pt>
                <c:pt idx="15">
                  <c:v>3246.5625</c:v>
                </c:pt>
                <c:pt idx="16">
                  <c:v>15290.71875</c:v>
                </c:pt>
                <c:pt idx="17">
                  <c:v>9198</c:v>
                </c:pt>
                <c:pt idx="18">
                  <c:v>9228.375</c:v>
                </c:pt>
                <c:pt idx="19">
                  <c:v>9035.4375</c:v>
                </c:pt>
                <c:pt idx="20">
                  <c:v>6090.5625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4-E94E-B460-D9ED33992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0320400"/>
        <c:axId val="1535013984"/>
      </c:barChart>
      <c:lineChart>
        <c:grouping val="standard"/>
        <c:varyColors val="0"/>
        <c:ser>
          <c:idx val="2"/>
          <c:order val="2"/>
          <c:tx>
            <c:strRef>
              <c:f>Sheet4!$AE$1</c:f>
              <c:strCache>
                <c:ptCount val="1"/>
                <c:pt idx="0">
                  <c:v>Cumulative surplus/deficit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Sheet4!$AB$2:$AB$22</c:f>
              <c:numCache>
                <c:formatCode>m/d/yy</c:formatCode>
                <c:ptCount val="21"/>
                <c:pt idx="0">
                  <c:v>46295</c:v>
                </c:pt>
                <c:pt idx="1">
                  <c:v>46387</c:v>
                </c:pt>
                <c:pt idx="2">
                  <c:v>46477</c:v>
                </c:pt>
                <c:pt idx="3">
                  <c:v>46568</c:v>
                </c:pt>
                <c:pt idx="4">
                  <c:v>46660</c:v>
                </c:pt>
                <c:pt idx="5">
                  <c:v>46752</c:v>
                </c:pt>
                <c:pt idx="6">
                  <c:v>46843</c:v>
                </c:pt>
                <c:pt idx="7">
                  <c:v>46934</c:v>
                </c:pt>
                <c:pt idx="8">
                  <c:v>47026</c:v>
                </c:pt>
                <c:pt idx="9">
                  <c:v>47118</c:v>
                </c:pt>
                <c:pt idx="10">
                  <c:v>47208</c:v>
                </c:pt>
                <c:pt idx="11">
                  <c:v>47299</c:v>
                </c:pt>
                <c:pt idx="12">
                  <c:v>47391</c:v>
                </c:pt>
                <c:pt idx="13">
                  <c:v>47483</c:v>
                </c:pt>
                <c:pt idx="14">
                  <c:v>47573</c:v>
                </c:pt>
                <c:pt idx="15">
                  <c:v>47664</c:v>
                </c:pt>
                <c:pt idx="16">
                  <c:v>47756</c:v>
                </c:pt>
                <c:pt idx="17">
                  <c:v>47848</c:v>
                </c:pt>
                <c:pt idx="18">
                  <c:v>47938</c:v>
                </c:pt>
                <c:pt idx="19">
                  <c:v>48029</c:v>
                </c:pt>
                <c:pt idx="20">
                  <c:v>48121</c:v>
                </c:pt>
              </c:numCache>
            </c:numRef>
          </c:cat>
          <c:val>
            <c:numRef>
              <c:f>Sheet4!$AE$2:$AE$22</c:f>
              <c:numCache>
                <c:formatCode>#,##0</c:formatCode>
                <c:ptCount val="21"/>
                <c:pt idx="0">
                  <c:v>133.76375000000007</c:v>
                </c:pt>
                <c:pt idx="1">
                  <c:v>851.07625000000007</c:v>
                </c:pt>
                <c:pt idx="2">
                  <c:v>994.48250000000007</c:v>
                </c:pt>
                <c:pt idx="3">
                  <c:v>662.57625000000007</c:v>
                </c:pt>
                <c:pt idx="4">
                  <c:v>683.26375000000007</c:v>
                </c:pt>
                <c:pt idx="5">
                  <c:v>332.10750000000007</c:v>
                </c:pt>
                <c:pt idx="6">
                  <c:v>307.07625000000007</c:v>
                </c:pt>
                <c:pt idx="7">
                  <c:v>-136.82999999999993</c:v>
                </c:pt>
                <c:pt idx="8">
                  <c:v>-173.89249999999993</c:v>
                </c:pt>
                <c:pt idx="9">
                  <c:v>-640.98624999999993</c:v>
                </c:pt>
                <c:pt idx="10">
                  <c:v>-906.64249999999993</c:v>
                </c:pt>
                <c:pt idx="11">
                  <c:v>-471.73624999999993</c:v>
                </c:pt>
                <c:pt idx="12">
                  <c:v>-852.89249999999993</c:v>
                </c:pt>
                <c:pt idx="13">
                  <c:v>-454.73624999999993</c:v>
                </c:pt>
                <c:pt idx="14">
                  <c:v>19.732500000000073</c:v>
                </c:pt>
                <c:pt idx="15">
                  <c:v>266.29500000000007</c:v>
                </c:pt>
                <c:pt idx="16">
                  <c:v>557.01375000000007</c:v>
                </c:pt>
                <c:pt idx="17">
                  <c:v>755.01375000000007</c:v>
                </c:pt>
                <c:pt idx="18">
                  <c:v>983.38875000000007</c:v>
                </c:pt>
                <c:pt idx="19">
                  <c:v>1018.8262500000001</c:v>
                </c:pt>
                <c:pt idx="20">
                  <c:v>1109.3887500000001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4-E94E-B460-D9ED33992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216000"/>
        <c:axId val="1149602656"/>
      </c:lineChart>
      <c:catAx>
        <c:axId val="146032040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T"/>
          </a:p>
        </c:txPr>
        <c:crossAx val="1535013984"/>
        <c:crosses val="autoZero"/>
        <c:auto val="0"/>
        <c:lblAlgn val="ctr"/>
        <c:lblOffset val="100"/>
        <c:noMultiLvlLbl val="0"/>
      </c:catAx>
      <c:valAx>
        <c:axId val="153501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Quarterly cash flow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T"/>
          </a:p>
        </c:txPr>
        <c:crossAx val="1460320400"/>
        <c:crosses val="autoZero"/>
        <c:crossBetween val="between"/>
      </c:valAx>
      <c:valAx>
        <c:axId val="1149602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Cumulative surplus/deficit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T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T"/>
          </a:p>
        </c:txPr>
        <c:crossAx val="1150216000"/>
        <c:crosses val="max"/>
        <c:crossBetween val="between"/>
      </c:valAx>
      <c:dateAx>
        <c:axId val="1150216000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114960265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31</xdr:row>
      <xdr:rowOff>101600</xdr:rowOff>
    </xdr:from>
    <xdr:to>
      <xdr:col>18</xdr:col>
      <xdr:colOff>118533</xdr:colOff>
      <xdr:row>70</xdr:row>
      <xdr:rowOff>84668</xdr:rowOff>
    </xdr:to>
    <xdr:graphicFrame macro="">
      <xdr:nvGraphicFramePr>
        <xdr:cNvPr id="3" name="CashFlowMatching">
          <a:extLst>
            <a:ext uri="{FF2B5EF4-FFF2-40B4-BE49-F238E27FC236}">
              <a16:creationId xmlns:a16="http://schemas.microsoft.com/office/drawing/2014/main" id="{53962C6C-C9FD-63B8-5256-D3E73BFAD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CF66BC4-9C99-2948-AD78-D22C5039262F}">
  <we:reference id="wa200005502" version="1.0.0.13" store="it-IT" storeType="OMEX"/>
  <we:alternateReferences>
    <we:reference id="WA200005502" version="1.0.0.13" store="" storeType="OMEX"/>
  </we:alternateReferences>
  <we:properties>
    <we:property name="docId" value="&quot;jjIYIY4tkXD2kzMRbf9KO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DE0E9D0A-1450-CD45-8C78-5132F47CDF3A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393a5d26-4a6b-4e0f-aa0e-1a9c38cb257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F297-950F-7145-8A80-21035F5387AE}">
  <dimension ref="A1:AK35"/>
  <sheetViews>
    <sheetView zoomScale="125" zoomScaleNormal="100" workbookViewId="0">
      <selection activeCell="A4" sqref="A4"/>
    </sheetView>
  </sheetViews>
  <sheetFormatPr baseColWidth="10" defaultRowHeight="14" outlineLevelCol="1"/>
  <cols>
    <col min="1" max="1" width="17.33203125" bestFit="1" customWidth="1"/>
    <col min="2" max="2" width="11" bestFit="1" customWidth="1"/>
    <col min="3" max="3" width="12.33203125" customWidth="1"/>
    <col min="4" max="4" width="13.33203125" bestFit="1" customWidth="1"/>
    <col min="5" max="5" width="13.1640625" customWidth="1"/>
    <col min="6" max="6" width="11.33203125" customWidth="1"/>
    <col min="7" max="26" width="11" bestFit="1" customWidth="1"/>
    <col min="28" max="29" width="11" bestFit="1" customWidth="1" outlineLevel="1"/>
    <col min="30" max="30" width="12.1640625" bestFit="1" customWidth="1" outlineLevel="1"/>
    <col min="31" max="31" width="11.1640625" bestFit="1" customWidth="1" outlineLevel="1"/>
  </cols>
  <sheetData>
    <row r="1" spans="1:37" ht="60">
      <c r="F1" s="10" t="s">
        <v>12</v>
      </c>
      <c r="G1" s="10" t="s">
        <v>13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20</v>
      </c>
      <c r="M1" s="10" t="s">
        <v>19</v>
      </c>
      <c r="N1" s="10" t="s">
        <v>21</v>
      </c>
      <c r="O1" s="10" t="s">
        <v>22</v>
      </c>
      <c r="P1" s="10" t="s">
        <v>23</v>
      </c>
      <c r="Q1" s="10" t="s">
        <v>24</v>
      </c>
      <c r="R1" s="10" t="s">
        <v>25</v>
      </c>
      <c r="S1" s="10" t="s">
        <v>26</v>
      </c>
      <c r="T1" s="10" t="s">
        <v>27</v>
      </c>
      <c r="U1" s="10" t="s">
        <v>28</v>
      </c>
      <c r="V1" s="10" t="s">
        <v>29</v>
      </c>
      <c r="W1" s="10" t="s">
        <v>30</v>
      </c>
      <c r="X1" s="10" t="s">
        <v>31</v>
      </c>
      <c r="Y1" s="10" t="s">
        <v>32</v>
      </c>
      <c r="Z1" s="10" t="s">
        <v>44</v>
      </c>
      <c r="AB1" s="10" t="s">
        <v>35</v>
      </c>
      <c r="AC1" s="10" t="s">
        <v>42</v>
      </c>
      <c r="AD1" s="10" t="s">
        <v>41</v>
      </c>
      <c r="AE1" s="10" t="s">
        <v>36</v>
      </c>
    </row>
    <row r="2" spans="1:37">
      <c r="A2" s="1">
        <v>46188</v>
      </c>
      <c r="E2" t="s">
        <v>14</v>
      </c>
      <c r="F2" s="11">
        <v>101.76962</v>
      </c>
      <c r="G2" s="11">
        <v>90.600179999999995</v>
      </c>
      <c r="H2" s="11">
        <v>101.99984000000001</v>
      </c>
      <c r="I2" s="11">
        <v>104.07471</v>
      </c>
      <c r="J2" s="11">
        <v>92.341319999999996</v>
      </c>
      <c r="K2" s="11">
        <v>102.81468</v>
      </c>
      <c r="L2" s="11">
        <v>102.17128</v>
      </c>
      <c r="M2" s="11">
        <v>103.18616</v>
      </c>
      <c r="N2" s="11">
        <v>100.4</v>
      </c>
      <c r="O2" s="11">
        <v>99.96</v>
      </c>
      <c r="P2" s="11">
        <v>98.96</v>
      </c>
      <c r="Q2" s="11">
        <v>100.18</v>
      </c>
      <c r="R2" s="11">
        <v>104.31</v>
      </c>
      <c r="S2" s="11">
        <v>99.85</v>
      </c>
      <c r="T2" s="11">
        <v>95.9</v>
      </c>
      <c r="U2" s="11">
        <v>100</v>
      </c>
      <c r="V2" s="11">
        <v>97.95</v>
      </c>
      <c r="W2" s="11">
        <v>99.65</v>
      </c>
      <c r="X2" s="11">
        <v>99.98</v>
      </c>
      <c r="Y2" s="11">
        <v>99.495000000000005</v>
      </c>
      <c r="Z2" s="11">
        <v>99.448999999999998</v>
      </c>
      <c r="AB2" s="15">
        <f>A5</f>
        <v>46295</v>
      </c>
      <c r="AC2" s="16">
        <f>B5</f>
        <v>15000</v>
      </c>
      <c r="AD2" s="16">
        <f>C5</f>
        <v>15133.76375</v>
      </c>
      <c r="AE2" s="16">
        <f>E5</f>
        <v>133.76375000000007</v>
      </c>
    </row>
    <row r="3" spans="1:37" ht="30">
      <c r="A3" t="s">
        <v>40</v>
      </c>
      <c r="C3" s="10" t="s">
        <v>39</v>
      </c>
      <c r="E3" t="s">
        <v>2</v>
      </c>
      <c r="F3" s="8">
        <v>6000</v>
      </c>
      <c r="G3" s="8">
        <v>9000</v>
      </c>
      <c r="H3" s="8">
        <v>9000</v>
      </c>
      <c r="I3" s="8">
        <v>9000</v>
      </c>
      <c r="J3" s="8">
        <v>15000</v>
      </c>
      <c r="K3" s="8">
        <v>3000</v>
      </c>
      <c r="L3" s="8">
        <v>12000</v>
      </c>
      <c r="M3" s="8">
        <v>9000</v>
      </c>
      <c r="N3" s="8">
        <v>11000</v>
      </c>
      <c r="O3" s="8">
        <v>3000</v>
      </c>
      <c r="P3" s="8">
        <v>11000</v>
      </c>
      <c r="Q3" s="8">
        <v>8000</v>
      </c>
      <c r="R3" s="8">
        <v>11000</v>
      </c>
      <c r="S3" s="8">
        <v>2000</v>
      </c>
      <c r="T3" s="8">
        <v>11000</v>
      </c>
      <c r="U3" s="8">
        <v>8000</v>
      </c>
      <c r="V3" s="8">
        <v>11000</v>
      </c>
      <c r="W3" s="8">
        <v>2000</v>
      </c>
      <c r="X3" s="8">
        <v>11000</v>
      </c>
      <c r="Y3" s="8">
        <v>9000</v>
      </c>
      <c r="Z3" s="8">
        <v>14000</v>
      </c>
      <c r="AB3" s="15">
        <f t="shared" ref="AB3:AD3" si="0">A6</f>
        <v>46387</v>
      </c>
      <c r="AC3" s="16">
        <f t="shared" si="0"/>
        <v>9000</v>
      </c>
      <c r="AD3" s="16">
        <f t="shared" si="0"/>
        <v>9717.3125</v>
      </c>
      <c r="AE3" s="16">
        <f t="shared" ref="AE3:AE22" si="1">E6</f>
        <v>851.07625000000007</v>
      </c>
    </row>
    <row r="4" spans="1:37" ht="30">
      <c r="A4" s="1">
        <v>46203</v>
      </c>
      <c r="B4" t="s">
        <v>11</v>
      </c>
      <c r="C4" s="13">
        <f>SUM(F4:Z4)</f>
        <v>-182895.45929999999</v>
      </c>
      <c r="D4" s="14" t="s">
        <v>33</v>
      </c>
      <c r="E4" s="14" t="s">
        <v>34</v>
      </c>
      <c r="F4" s="4">
        <f t="shared" ref="F4:Z4" si="2">-F3*F2/100</f>
        <v>-6106.1772000000001</v>
      </c>
      <c r="G4" s="4">
        <f t="shared" si="2"/>
        <v>-8154.0162</v>
      </c>
      <c r="H4" s="4">
        <f t="shared" si="2"/>
        <v>-9179.9856</v>
      </c>
      <c r="I4" s="4">
        <f t="shared" si="2"/>
        <v>-9366.7239000000009</v>
      </c>
      <c r="J4" s="4">
        <f t="shared" si="2"/>
        <v>-13851.198</v>
      </c>
      <c r="K4" s="4">
        <f t="shared" si="2"/>
        <v>-3084.4404</v>
      </c>
      <c r="L4" s="4">
        <f t="shared" si="2"/>
        <v>-12260.553599999999</v>
      </c>
      <c r="M4" s="4">
        <f t="shared" si="2"/>
        <v>-9286.7543999999998</v>
      </c>
      <c r="N4" s="4">
        <f t="shared" si="2"/>
        <v>-11044</v>
      </c>
      <c r="O4" s="4">
        <f t="shared" si="2"/>
        <v>-2998.8</v>
      </c>
      <c r="P4" s="4">
        <f t="shared" si="2"/>
        <v>-10885.6</v>
      </c>
      <c r="Q4" s="4">
        <f t="shared" si="2"/>
        <v>-8014.4</v>
      </c>
      <c r="R4" s="4">
        <f t="shared" si="2"/>
        <v>-11474.1</v>
      </c>
      <c r="S4" s="4">
        <f t="shared" si="2"/>
        <v>-1997</v>
      </c>
      <c r="T4" s="4">
        <f t="shared" si="2"/>
        <v>-10549</v>
      </c>
      <c r="U4" s="4">
        <f t="shared" si="2"/>
        <v>-8000</v>
      </c>
      <c r="V4" s="4">
        <f t="shared" si="2"/>
        <v>-10774.5</v>
      </c>
      <c r="W4" s="4">
        <f t="shared" si="2"/>
        <v>-1993</v>
      </c>
      <c r="X4" s="4">
        <f t="shared" si="2"/>
        <v>-10997.8</v>
      </c>
      <c r="Y4" s="4">
        <f t="shared" si="2"/>
        <v>-8954.5499999999993</v>
      </c>
      <c r="Z4" s="4">
        <f t="shared" si="2"/>
        <v>-13922.86</v>
      </c>
      <c r="AB4" s="15">
        <f t="shared" ref="AB4:AD4" si="3">A7</f>
        <v>46477</v>
      </c>
      <c r="AC4" s="16">
        <f t="shared" si="3"/>
        <v>12000</v>
      </c>
      <c r="AD4" s="16">
        <f t="shared" si="3"/>
        <v>12143.40625</v>
      </c>
      <c r="AE4" s="16">
        <f t="shared" si="1"/>
        <v>994.48250000000007</v>
      </c>
    </row>
    <row r="5" spans="1:37">
      <c r="A5" s="1">
        <v>46295</v>
      </c>
      <c r="B5" s="17">
        <v>15000</v>
      </c>
      <c r="C5" s="13">
        <f t="shared" ref="C5:C25" si="4">SUM(F5:Z5)</f>
        <v>15133.76375</v>
      </c>
      <c r="D5" s="13">
        <f>C5-B5</f>
        <v>133.76375000000007</v>
      </c>
      <c r="E5" s="13">
        <f>SUM($D$5:D5)</f>
        <v>133.76375000000007</v>
      </c>
      <c r="F5" s="4">
        <f>$F$3*(3.45%*0.875)/2</f>
        <v>90.562500000000014</v>
      </c>
      <c r="G5" s="4"/>
      <c r="H5" s="4">
        <f>$H$3*3.5%*0.875/2</f>
        <v>137.81250000000003</v>
      </c>
      <c r="I5" s="4"/>
      <c r="J5" s="4">
        <f>$J$3*0.95%*0.875/2</f>
        <v>62.34375</v>
      </c>
      <c r="K5" s="4"/>
      <c r="L5" s="4">
        <f>$L$3*3.5%*0.875/2</f>
        <v>183.75000000000003</v>
      </c>
      <c r="M5" s="4"/>
      <c r="N5" s="4">
        <f>$N$3*3%*0.875/2</f>
        <v>144.375</v>
      </c>
      <c r="O5" s="4"/>
      <c r="P5" s="4">
        <f>$P$3*2.4%*0.875/2</f>
        <v>115.5</v>
      </c>
      <c r="Q5" s="4"/>
      <c r="R5" s="4">
        <f>$R$3*4.75%*0.875/2</f>
        <v>228.59375</v>
      </c>
      <c r="S5" s="4"/>
      <c r="T5" s="4">
        <f>$T$3*0.25%*0.875/2</f>
        <v>12.03125</v>
      </c>
      <c r="U5" s="4"/>
      <c r="V5" s="4">
        <f>$V$3*0.95%*0.875/2</f>
        <v>45.71875</v>
      </c>
      <c r="W5" s="4"/>
      <c r="X5" s="4">
        <f>$X$3*2.55%*0.875/2</f>
        <v>122.71875</v>
      </c>
      <c r="Y5" s="4"/>
      <c r="Z5" s="4">
        <f>Z3-0.125*(Z3+Z4)</f>
        <v>13990.3575</v>
      </c>
      <c r="AA5" s="4"/>
      <c r="AB5" s="15">
        <f t="shared" ref="AB5:AD5" si="5">A8</f>
        <v>46568</v>
      </c>
      <c r="AC5" s="16">
        <f t="shared" si="5"/>
        <v>3000</v>
      </c>
      <c r="AD5" s="16">
        <f t="shared" si="5"/>
        <v>2668.09375</v>
      </c>
      <c r="AE5" s="16">
        <f t="shared" si="1"/>
        <v>662.57625000000007</v>
      </c>
      <c r="AF5" s="4"/>
      <c r="AG5" s="4"/>
      <c r="AH5" s="4"/>
      <c r="AI5" s="4"/>
      <c r="AJ5" s="4"/>
      <c r="AK5" s="4"/>
    </row>
    <row r="6" spans="1:37">
      <c r="A6" s="1">
        <v>46387</v>
      </c>
      <c r="B6" s="17">
        <v>9000</v>
      </c>
      <c r="C6" s="13">
        <f t="shared" si="4"/>
        <v>9717.3125</v>
      </c>
      <c r="D6" s="13">
        <f t="shared" ref="D6:D25" si="6">C6-B6</f>
        <v>717.3125</v>
      </c>
      <c r="E6" s="13">
        <f>SUM($D$5:D6)</f>
        <v>851.07625000000007</v>
      </c>
      <c r="F6" s="4"/>
      <c r="G6" s="4">
        <f>$G$3*0.9%/2</f>
        <v>40.500000000000007</v>
      </c>
      <c r="H6" s="4"/>
      <c r="I6" s="4">
        <f>$I$3*4%/2*0.875</f>
        <v>157.5</v>
      </c>
      <c r="J6" s="4"/>
      <c r="K6" s="4">
        <f>$K$3*3.7%*0.875/2</f>
        <v>48.562500000000007</v>
      </c>
      <c r="L6" s="4"/>
      <c r="M6" s="4">
        <f>$M$3*3.85%*0.875/2</f>
        <v>151.59375</v>
      </c>
      <c r="N6" s="4"/>
      <c r="O6" s="4">
        <f>$O$3*2.8%*0.875/2</f>
        <v>36.749999999999993</v>
      </c>
      <c r="P6" s="4"/>
      <c r="Q6" s="4">
        <f>$Q$3*2.8%*0.875/2</f>
        <v>97.999999999999986</v>
      </c>
      <c r="R6" s="4"/>
      <c r="S6" s="4">
        <f>$S$3*2.65%*0.875/2</f>
        <v>23.1875</v>
      </c>
      <c r="T6" s="4"/>
      <c r="U6" s="4">
        <f>$U$3*2.65%*0.875/2</f>
        <v>92.75</v>
      </c>
      <c r="V6" s="4"/>
      <c r="W6" s="4">
        <f>$W$3*2.2%*0.875/2</f>
        <v>19.250000000000004</v>
      </c>
      <c r="X6" s="4"/>
      <c r="Y6" s="4">
        <f>$Y$3*1.25%*0.875/2+Y3</f>
        <v>9049.21875</v>
      </c>
      <c r="Z6" s="4"/>
      <c r="AA6" s="4"/>
      <c r="AB6" s="15">
        <f t="shared" ref="AB6:AD6" si="7">A9</f>
        <v>46660</v>
      </c>
      <c r="AC6" s="16">
        <f t="shared" si="7"/>
        <v>12000</v>
      </c>
      <c r="AD6" s="16">
        <f t="shared" si="7"/>
        <v>12020.6875</v>
      </c>
      <c r="AE6" s="16">
        <f t="shared" si="1"/>
        <v>683.26375000000007</v>
      </c>
      <c r="AF6" s="4"/>
      <c r="AG6" s="4"/>
      <c r="AH6" s="4"/>
      <c r="AI6" s="4"/>
      <c r="AJ6" s="4"/>
      <c r="AK6" s="4"/>
    </row>
    <row r="7" spans="1:37">
      <c r="A7" s="1">
        <v>46477</v>
      </c>
      <c r="B7" s="17">
        <v>12000</v>
      </c>
      <c r="C7" s="13">
        <f t="shared" si="4"/>
        <v>12143.40625</v>
      </c>
      <c r="D7" s="13">
        <f t="shared" si="6"/>
        <v>143.40625</v>
      </c>
      <c r="E7" s="13">
        <f>SUM($D$5:D7)</f>
        <v>994.48250000000007</v>
      </c>
      <c r="F7" s="4">
        <f>$F$3*(3.45%*0.875)/2</f>
        <v>90.562500000000014</v>
      </c>
      <c r="G7" s="4"/>
      <c r="H7" s="4">
        <f>$H$3*3.5%*0.875/2</f>
        <v>137.81250000000003</v>
      </c>
      <c r="I7" s="4"/>
      <c r="J7" s="4">
        <f>$J$3*0.95%*0.875/2</f>
        <v>62.34375</v>
      </c>
      <c r="K7" s="4"/>
      <c r="L7" s="4">
        <f>$L$3*3.5%*0.875/2</f>
        <v>183.75000000000003</v>
      </c>
      <c r="N7" s="4">
        <f>$N$3*3%*0.875/2</f>
        <v>144.375</v>
      </c>
      <c r="O7" s="4"/>
      <c r="P7" s="4">
        <f>$P$3*2.4%*0.875/2</f>
        <v>115.5</v>
      </c>
      <c r="Q7" s="4"/>
      <c r="R7" s="4">
        <f>$R$3*4.75%*0.875/2</f>
        <v>228.59375</v>
      </c>
      <c r="S7" s="4"/>
      <c r="T7" s="4">
        <f>$T$3*0.25%*0.875/2</f>
        <v>12.03125</v>
      </c>
      <c r="U7" s="4"/>
      <c r="V7" s="4">
        <f>$V$3*0.95%*0.875/2</f>
        <v>45.71875</v>
      </c>
      <c r="W7" s="4"/>
      <c r="X7" s="4">
        <f>$X$3*2.55%*0.875/2+X3</f>
        <v>11122.71875</v>
      </c>
      <c r="Y7" s="4"/>
      <c r="Z7" s="4"/>
      <c r="AA7" s="4"/>
      <c r="AB7" s="15">
        <f t="shared" ref="AB7:AD7" si="8">A10</f>
        <v>46752</v>
      </c>
      <c r="AC7" s="16">
        <f t="shared" si="8"/>
        <v>9000</v>
      </c>
      <c r="AD7" s="16">
        <f t="shared" si="8"/>
        <v>8648.84375</v>
      </c>
      <c r="AE7" s="16">
        <f t="shared" si="1"/>
        <v>332.10750000000007</v>
      </c>
      <c r="AF7" s="4"/>
      <c r="AG7" s="4"/>
      <c r="AH7" s="4"/>
      <c r="AI7" s="4"/>
      <c r="AJ7" s="4"/>
      <c r="AK7" s="4"/>
    </row>
    <row r="8" spans="1:37">
      <c r="A8" s="1">
        <v>46568</v>
      </c>
      <c r="B8" s="17">
        <v>3000</v>
      </c>
      <c r="C8" s="13">
        <f t="shared" si="4"/>
        <v>2668.09375</v>
      </c>
      <c r="D8" s="13">
        <f t="shared" si="6"/>
        <v>-331.90625</v>
      </c>
      <c r="E8" s="13">
        <f>SUM($D$5:D8)</f>
        <v>662.57625000000007</v>
      </c>
      <c r="F8" s="4"/>
      <c r="G8" s="4">
        <f>$G$3*0.9%/2</f>
        <v>40.500000000000007</v>
      </c>
      <c r="H8" s="4"/>
      <c r="I8" s="4">
        <f>$I$3*4%/2*0.875</f>
        <v>157.5</v>
      </c>
      <c r="J8" s="4"/>
      <c r="K8" s="4">
        <f>$K$3*3.7%*0.875/2</f>
        <v>48.562500000000007</v>
      </c>
      <c r="L8" s="4"/>
      <c r="M8" s="4">
        <f>$M$3*3.85%*0.875/2</f>
        <v>151.59375</v>
      </c>
      <c r="N8" s="4"/>
      <c r="O8" s="4">
        <f>$O$3*2.8%*0.875/2</f>
        <v>36.749999999999993</v>
      </c>
      <c r="P8" s="4"/>
      <c r="Q8" s="4">
        <f>$Q$3*2.8%*0.875/2</f>
        <v>97.999999999999986</v>
      </c>
      <c r="R8" s="4"/>
      <c r="S8" s="4">
        <f>$S$3*2.65%*0.875/2</f>
        <v>23.1875</v>
      </c>
      <c r="T8" s="4"/>
      <c r="U8" s="4">
        <f>$U$3*2.65%*0.875/2</f>
        <v>92.75</v>
      </c>
      <c r="V8" s="4"/>
      <c r="W8" s="4">
        <f>$W$3*2.2%*0.875/2+W3</f>
        <v>2019.25</v>
      </c>
      <c r="X8" s="4"/>
      <c r="Y8" s="4"/>
      <c r="Z8" s="4"/>
      <c r="AA8" s="4"/>
      <c r="AB8" s="15">
        <f t="shared" ref="AB8:AD8" si="9">A11</f>
        <v>46843</v>
      </c>
      <c r="AC8" s="16">
        <f t="shared" si="9"/>
        <v>12000</v>
      </c>
      <c r="AD8" s="16">
        <f t="shared" si="9"/>
        <v>11974.96875</v>
      </c>
      <c r="AE8" s="16">
        <f t="shared" si="1"/>
        <v>307.07625000000007</v>
      </c>
      <c r="AF8" s="4"/>
      <c r="AG8" s="4"/>
      <c r="AH8" s="4"/>
      <c r="AI8" s="4"/>
      <c r="AJ8" s="4"/>
      <c r="AK8" s="4"/>
    </row>
    <row r="9" spans="1:37">
      <c r="A9" s="1">
        <v>46660</v>
      </c>
      <c r="B9" s="17">
        <v>12000</v>
      </c>
      <c r="C9" s="13">
        <f t="shared" si="4"/>
        <v>12020.6875</v>
      </c>
      <c r="D9" s="13">
        <f t="shared" si="6"/>
        <v>20.6875</v>
      </c>
      <c r="E9" s="13">
        <f>SUM($D$5:D9)</f>
        <v>683.26375000000007</v>
      </c>
      <c r="F9" s="4">
        <f>$F$3*(3.45%*0.875)/2</f>
        <v>90.562500000000014</v>
      </c>
      <c r="G9" s="4"/>
      <c r="H9" s="4">
        <f>$H$3*3.5%*0.875/2</f>
        <v>137.81250000000003</v>
      </c>
      <c r="I9" s="4"/>
      <c r="J9" s="4">
        <f>$J$3*0.95%*0.875/2</f>
        <v>62.34375</v>
      </c>
      <c r="K9" s="4"/>
      <c r="L9" s="4">
        <f>$L$3*3.5%*0.875/2</f>
        <v>183.75000000000003</v>
      </c>
      <c r="N9" s="4">
        <f>$N$3*3%*0.875/2</f>
        <v>144.375</v>
      </c>
      <c r="O9" s="4"/>
      <c r="P9" s="4">
        <f>$P$3*2.4%*0.875/2</f>
        <v>115.5</v>
      </c>
      <c r="Q9" s="4"/>
      <c r="R9" s="4">
        <f>$R$3*4.75%*0.875/2</f>
        <v>228.59375</v>
      </c>
      <c r="S9" s="4"/>
      <c r="T9" s="4">
        <f>$T$3*0.25%*0.875/2</f>
        <v>12.03125</v>
      </c>
      <c r="U9" s="4"/>
      <c r="V9" s="4">
        <f>$V$3*0.95%*0.875/2+V3</f>
        <v>11045.71875</v>
      </c>
      <c r="W9" s="4"/>
      <c r="X9" s="4"/>
      <c r="Y9" s="4"/>
      <c r="Z9" s="4"/>
      <c r="AA9" s="4"/>
      <c r="AB9" s="15">
        <f t="shared" ref="AB9:AD9" si="10">A12</f>
        <v>46934</v>
      </c>
      <c r="AC9" s="16">
        <f t="shared" si="10"/>
        <v>3000</v>
      </c>
      <c r="AD9" s="16">
        <f t="shared" si="10"/>
        <v>2556.09375</v>
      </c>
      <c r="AE9" s="16">
        <f t="shared" si="1"/>
        <v>-136.82999999999993</v>
      </c>
      <c r="AF9" s="4"/>
      <c r="AG9" s="4"/>
      <c r="AH9" s="4"/>
      <c r="AI9" s="4"/>
      <c r="AJ9" s="4"/>
      <c r="AK9" s="4"/>
    </row>
    <row r="10" spans="1:37">
      <c r="A10" s="1">
        <v>46752</v>
      </c>
      <c r="B10" s="17">
        <v>9000</v>
      </c>
      <c r="C10" s="13">
        <f t="shared" si="4"/>
        <v>8648.84375</v>
      </c>
      <c r="D10" s="13">
        <f t="shared" si="6"/>
        <v>-351.15625</v>
      </c>
      <c r="E10" s="13">
        <f>SUM($D$5:D10)</f>
        <v>332.10750000000007</v>
      </c>
      <c r="F10" s="4"/>
      <c r="G10" s="4">
        <f>$G$3*0.9%/2</f>
        <v>40.500000000000007</v>
      </c>
      <c r="H10" s="4"/>
      <c r="I10" s="4">
        <f>$I$3*4%/2*0.875</f>
        <v>157.5</v>
      </c>
      <c r="J10" s="4"/>
      <c r="K10" s="4">
        <f>$K$3*3.7%*0.875/2</f>
        <v>48.562500000000007</v>
      </c>
      <c r="L10" s="4"/>
      <c r="M10" s="4">
        <f>$M$3*3.85%*0.875/2</f>
        <v>151.59375</v>
      </c>
      <c r="N10" s="4"/>
      <c r="O10" s="4">
        <f>$O$3*2.8%*0.875/2</f>
        <v>36.749999999999993</v>
      </c>
      <c r="P10" s="4"/>
      <c r="Q10" s="4">
        <f>$Q$3*2.8%*0.875/2</f>
        <v>97.999999999999986</v>
      </c>
      <c r="R10" s="4"/>
      <c r="S10" s="4">
        <f>$S$3*2.65%*0.875/2</f>
        <v>23.1875</v>
      </c>
      <c r="T10" s="4"/>
      <c r="U10" s="4">
        <f>$U$3*2.65%*0.875/2+U3</f>
        <v>8092.75</v>
      </c>
      <c r="V10" s="4"/>
      <c r="W10" s="4"/>
      <c r="X10" s="4"/>
      <c r="Y10" s="4"/>
      <c r="Z10" s="4"/>
      <c r="AA10" s="4"/>
      <c r="AB10" s="15">
        <f t="shared" ref="AB10:AD10" si="11">A13</f>
        <v>47026</v>
      </c>
      <c r="AC10" s="16">
        <f t="shared" si="11"/>
        <v>12000</v>
      </c>
      <c r="AD10" s="16">
        <f t="shared" si="11"/>
        <v>11962.9375</v>
      </c>
      <c r="AE10" s="16">
        <f t="shared" si="1"/>
        <v>-173.89249999999993</v>
      </c>
      <c r="AF10" s="4"/>
      <c r="AG10" s="4"/>
      <c r="AH10" s="4"/>
      <c r="AI10" s="4"/>
      <c r="AJ10" s="4"/>
      <c r="AK10" s="4"/>
    </row>
    <row r="11" spans="1:37">
      <c r="A11" s="1">
        <v>46843</v>
      </c>
      <c r="B11" s="17">
        <v>12000</v>
      </c>
      <c r="C11" s="13">
        <f t="shared" si="4"/>
        <v>11974.96875</v>
      </c>
      <c r="D11" s="13">
        <f t="shared" si="6"/>
        <v>-25.03125</v>
      </c>
      <c r="E11" s="13">
        <f>SUM($D$5:D11)</f>
        <v>307.07625000000007</v>
      </c>
      <c r="F11" s="4">
        <f>$F$3*(3.45%*0.875)/2</f>
        <v>90.562500000000014</v>
      </c>
      <c r="G11" s="4"/>
      <c r="H11" s="4">
        <f>$H$3*3.5%*0.875/2</f>
        <v>137.81250000000003</v>
      </c>
      <c r="I11" s="4"/>
      <c r="J11" s="4">
        <f>$J$3*0.95%*0.875/2</f>
        <v>62.34375</v>
      </c>
      <c r="K11" s="4"/>
      <c r="L11" s="4">
        <f>$L$3*3.5%*0.875/2</f>
        <v>183.75000000000003</v>
      </c>
      <c r="N11" s="4">
        <f>$N$3*3%*0.875/2</f>
        <v>144.375</v>
      </c>
      <c r="O11" s="4"/>
      <c r="P11" s="4">
        <f>$P$3*2.4%*0.875/2</f>
        <v>115.5</v>
      </c>
      <c r="Q11" s="4"/>
      <c r="R11" s="4">
        <f>$R$3*4.75%*0.875/2</f>
        <v>228.59375</v>
      </c>
      <c r="S11" s="4"/>
      <c r="T11" s="4">
        <f>$T$3*0.25%*0.875/2+T3</f>
        <v>11012.03125</v>
      </c>
      <c r="AB11" s="15">
        <f t="shared" ref="AB11:AD11" si="12">A14</f>
        <v>47118</v>
      </c>
      <c r="AC11" s="16">
        <f t="shared" si="12"/>
        <v>9000</v>
      </c>
      <c r="AD11" s="16">
        <f t="shared" si="12"/>
        <v>8532.90625</v>
      </c>
      <c r="AE11" s="16">
        <f t="shared" si="1"/>
        <v>-640.98624999999993</v>
      </c>
    </row>
    <row r="12" spans="1:37">
      <c r="A12" s="1">
        <v>46934</v>
      </c>
      <c r="B12" s="17">
        <v>3000</v>
      </c>
      <c r="C12" s="13">
        <f t="shared" si="4"/>
        <v>2556.09375</v>
      </c>
      <c r="D12" s="13">
        <f t="shared" si="6"/>
        <v>-443.90625</v>
      </c>
      <c r="E12" s="13">
        <f>SUM($D$5:D12)</f>
        <v>-136.82999999999993</v>
      </c>
      <c r="F12" s="4"/>
      <c r="G12" s="4">
        <f>$G$3*0.9%/2</f>
        <v>40.500000000000007</v>
      </c>
      <c r="H12" s="4"/>
      <c r="I12" s="4">
        <f>$I$3*4%/2*0.875</f>
        <v>157.5</v>
      </c>
      <c r="J12" s="4"/>
      <c r="K12" s="4">
        <f>$K$3*3.7%*0.875/2</f>
        <v>48.562500000000007</v>
      </c>
      <c r="L12" s="4"/>
      <c r="M12" s="4">
        <f>$M$3*3.85%*0.875/2</f>
        <v>151.59375</v>
      </c>
      <c r="N12" s="4"/>
      <c r="O12" s="4">
        <f>$O$3*2.8%*0.875/2</f>
        <v>36.749999999999993</v>
      </c>
      <c r="P12" s="4"/>
      <c r="Q12" s="4">
        <f>$Q$3*2.8%*0.875/2</f>
        <v>97.999999999999986</v>
      </c>
      <c r="R12" s="4"/>
      <c r="S12" s="4">
        <f>$S$3*2.65%*0.875/2+S3</f>
        <v>2023.1875</v>
      </c>
      <c r="T12" s="4"/>
      <c r="AB12" s="15">
        <f t="shared" ref="AB12:AD12" si="13">A15</f>
        <v>47208</v>
      </c>
      <c r="AC12" s="16">
        <f t="shared" si="13"/>
        <v>12000</v>
      </c>
      <c r="AD12" s="16">
        <f t="shared" si="13"/>
        <v>11734.34375</v>
      </c>
      <c r="AE12" s="16">
        <f t="shared" si="1"/>
        <v>-906.64249999999993</v>
      </c>
    </row>
    <row r="13" spans="1:37">
      <c r="A13" s="1">
        <v>47026</v>
      </c>
      <c r="B13" s="17">
        <v>12000</v>
      </c>
      <c r="C13" s="13">
        <f t="shared" si="4"/>
        <v>11962.9375</v>
      </c>
      <c r="D13" s="13">
        <f t="shared" si="6"/>
        <v>-37.0625</v>
      </c>
      <c r="E13" s="13">
        <f>SUM($D$5:D13)</f>
        <v>-173.89249999999993</v>
      </c>
      <c r="F13" s="4">
        <f>$F$3*(3.45%*0.875)/2</f>
        <v>90.562500000000014</v>
      </c>
      <c r="G13" s="4"/>
      <c r="H13" s="4">
        <f>$H$3*3.5%*0.875/2</f>
        <v>137.81250000000003</v>
      </c>
      <c r="I13" s="4"/>
      <c r="J13" s="4">
        <f>$J$3*0.95%*0.875/2</f>
        <v>62.34375</v>
      </c>
      <c r="K13" s="4"/>
      <c r="L13" s="4">
        <f>$L$3*3.5%*0.875/2</f>
        <v>183.75000000000003</v>
      </c>
      <c r="N13" s="4">
        <f>$N$3*3%*0.875/2</f>
        <v>144.375</v>
      </c>
      <c r="O13" s="4"/>
      <c r="P13" s="4">
        <f>$P$3*2.4%*0.875/2</f>
        <v>115.5</v>
      </c>
      <c r="Q13" s="4"/>
      <c r="R13" s="4">
        <f>$R$3*4.75%*0.875/2+R3</f>
        <v>11228.59375</v>
      </c>
      <c r="S13" s="4"/>
      <c r="T13" s="4"/>
      <c r="AB13" s="15">
        <f t="shared" ref="AB13:AD13" si="14">A16</f>
        <v>47299</v>
      </c>
      <c r="AC13" s="16">
        <f t="shared" si="14"/>
        <v>3000</v>
      </c>
      <c r="AD13" s="16">
        <f t="shared" si="14"/>
        <v>3434.90625</v>
      </c>
      <c r="AE13" s="16">
        <f t="shared" si="1"/>
        <v>-471.73624999999993</v>
      </c>
    </row>
    <row r="14" spans="1:37">
      <c r="A14" s="1">
        <v>47118</v>
      </c>
      <c r="B14" s="17">
        <v>9000</v>
      </c>
      <c r="C14" s="13">
        <f t="shared" si="4"/>
        <v>8532.90625</v>
      </c>
      <c r="D14" s="13">
        <f t="shared" si="6"/>
        <v>-467.09375</v>
      </c>
      <c r="E14" s="13">
        <f>SUM($D$5:D14)</f>
        <v>-640.98624999999993</v>
      </c>
      <c r="F14" s="4"/>
      <c r="G14" s="4">
        <f>$G$3*0.9%/2</f>
        <v>40.500000000000007</v>
      </c>
      <c r="H14" s="4"/>
      <c r="I14" s="4">
        <f>$I$3*4%/2*0.875</f>
        <v>157.5</v>
      </c>
      <c r="J14" s="4"/>
      <c r="K14" s="4">
        <f>$K$3*3.7%*0.875/2</f>
        <v>48.562500000000007</v>
      </c>
      <c r="L14" s="4"/>
      <c r="M14" s="4">
        <f>$M$3*3.85%*0.875/2</f>
        <v>151.59375</v>
      </c>
      <c r="N14" s="4"/>
      <c r="O14" s="4">
        <f>$O$3*2.8%*0.875/2</f>
        <v>36.749999999999993</v>
      </c>
      <c r="P14" s="4"/>
      <c r="Q14" s="4">
        <f>$Q$3*2.8%*0.875/2+Q3</f>
        <v>8098</v>
      </c>
      <c r="R14" s="4"/>
      <c r="S14" s="4"/>
      <c r="T14" s="4"/>
      <c r="AB14" s="15">
        <f t="shared" ref="AB14:AD14" si="15">A17</f>
        <v>47391</v>
      </c>
      <c r="AC14" s="16">
        <f t="shared" si="15"/>
        <v>12000</v>
      </c>
      <c r="AD14" s="16">
        <f t="shared" si="15"/>
        <v>11618.84375</v>
      </c>
      <c r="AE14" s="16">
        <f t="shared" si="1"/>
        <v>-852.89249999999993</v>
      </c>
    </row>
    <row r="15" spans="1:37">
      <c r="A15" s="1">
        <v>47208</v>
      </c>
      <c r="B15" s="17">
        <v>12000</v>
      </c>
      <c r="C15" s="13">
        <f t="shared" si="4"/>
        <v>11734.34375</v>
      </c>
      <c r="D15" s="13">
        <f t="shared" si="6"/>
        <v>-265.65625</v>
      </c>
      <c r="E15" s="13">
        <f>SUM($D$5:D15)</f>
        <v>-906.64249999999993</v>
      </c>
      <c r="F15" s="4">
        <f>$F$3*(3.45%*0.875)/2</f>
        <v>90.562500000000014</v>
      </c>
      <c r="G15" s="4"/>
      <c r="H15" s="4">
        <f>$H$3*3.5%*0.875/2</f>
        <v>137.81250000000003</v>
      </c>
      <c r="I15" s="4"/>
      <c r="J15" s="4">
        <f>$J$3*0.95%*0.875/2</f>
        <v>62.34375</v>
      </c>
      <c r="K15" s="4"/>
      <c r="L15" s="4">
        <f>$L$3*3.5%*0.875/2</f>
        <v>183.75000000000003</v>
      </c>
      <c r="N15" s="4">
        <f>$N$3*3%*0.875/2</f>
        <v>144.375</v>
      </c>
      <c r="O15" s="4"/>
      <c r="P15" s="4">
        <f>$P$3*2.4%*0.875/2+P3</f>
        <v>11115.5</v>
      </c>
      <c r="AB15" s="15">
        <f t="shared" ref="AB15:AD15" si="16">A18</f>
        <v>47483</v>
      </c>
      <c r="AC15" s="16">
        <f t="shared" si="16"/>
        <v>9000</v>
      </c>
      <c r="AD15" s="16">
        <f t="shared" si="16"/>
        <v>9398.15625</v>
      </c>
      <c r="AE15" s="16">
        <f t="shared" si="1"/>
        <v>-454.73624999999993</v>
      </c>
    </row>
    <row r="16" spans="1:37">
      <c r="A16" s="1">
        <v>47299</v>
      </c>
      <c r="B16" s="17">
        <v>3000</v>
      </c>
      <c r="C16" s="13">
        <f t="shared" si="4"/>
        <v>3434.90625</v>
      </c>
      <c r="D16" s="13">
        <f t="shared" si="6"/>
        <v>434.90625</v>
      </c>
      <c r="E16" s="13">
        <f>SUM($D$5:D16)</f>
        <v>-471.73624999999993</v>
      </c>
      <c r="F16" s="4"/>
      <c r="G16" s="4">
        <f>$G$3*0.9%/2</f>
        <v>40.500000000000007</v>
      </c>
      <c r="H16" s="4"/>
      <c r="I16" s="4">
        <f>$I$3*4%/2*0.875</f>
        <v>157.5</v>
      </c>
      <c r="J16" s="4"/>
      <c r="K16" s="4">
        <f>$K$3*3.7%*0.875/2</f>
        <v>48.562500000000007</v>
      </c>
      <c r="L16" s="4"/>
      <c r="M16" s="4">
        <f>$M$3*3.85%*0.875/2</f>
        <v>151.59375</v>
      </c>
      <c r="N16" s="4"/>
      <c r="O16" s="4">
        <f>$O$3*2.8%*0.875/2+O3</f>
        <v>3036.75</v>
      </c>
      <c r="P16" s="4"/>
      <c r="AB16" s="15">
        <f t="shared" ref="AB16:AD16" si="17">A19</f>
        <v>47573</v>
      </c>
      <c r="AC16" s="16">
        <f t="shared" si="17"/>
        <v>12000</v>
      </c>
      <c r="AD16" s="16">
        <f t="shared" si="17"/>
        <v>12474.46875</v>
      </c>
      <c r="AE16" s="16">
        <f t="shared" si="1"/>
        <v>19.732500000000073</v>
      </c>
    </row>
    <row r="17" spans="1:31">
      <c r="A17" s="1">
        <v>47391</v>
      </c>
      <c r="B17" s="17">
        <v>12000</v>
      </c>
      <c r="C17" s="13">
        <f t="shared" si="4"/>
        <v>11618.84375</v>
      </c>
      <c r="D17" s="13">
        <f t="shared" si="6"/>
        <v>-381.15625</v>
      </c>
      <c r="E17" s="13">
        <f>SUM($D$5:D17)</f>
        <v>-852.89249999999993</v>
      </c>
      <c r="F17" s="4">
        <f>$F$3*(3.45%*0.875)/2</f>
        <v>90.562500000000014</v>
      </c>
      <c r="G17" s="4"/>
      <c r="H17" s="4">
        <f>$H$3*3.5%*0.875/2</f>
        <v>137.81250000000003</v>
      </c>
      <c r="I17" s="4"/>
      <c r="J17" s="4">
        <f>$J$3*0.95%*0.875/2</f>
        <v>62.34375</v>
      </c>
      <c r="K17" s="4"/>
      <c r="L17" s="4">
        <f>$L$3*3.5%*0.875/2</f>
        <v>183.75000000000003</v>
      </c>
      <c r="N17" s="4">
        <f>N3*3%*0.875/2+N3</f>
        <v>11144.375</v>
      </c>
      <c r="O17" s="4"/>
      <c r="P17" s="4"/>
      <c r="AB17" s="15">
        <f t="shared" ref="AB17:AD17" si="18">A20</f>
        <v>47664</v>
      </c>
      <c r="AC17" s="16">
        <f t="shared" si="18"/>
        <v>3000</v>
      </c>
      <c r="AD17" s="16">
        <f t="shared" si="18"/>
        <v>3246.5625</v>
      </c>
      <c r="AE17" s="16">
        <f t="shared" si="1"/>
        <v>266.29500000000007</v>
      </c>
    </row>
    <row r="18" spans="1:31">
      <c r="A18" s="1">
        <v>47483</v>
      </c>
      <c r="B18" s="17">
        <v>9000</v>
      </c>
      <c r="C18" s="13">
        <f t="shared" si="4"/>
        <v>9398.15625</v>
      </c>
      <c r="D18" s="13">
        <f t="shared" si="6"/>
        <v>398.15625</v>
      </c>
      <c r="E18" s="13">
        <f>SUM($D$5:D18)</f>
        <v>-454.73624999999993</v>
      </c>
      <c r="F18" s="4"/>
      <c r="G18" s="4">
        <f>$G$3*0.9%/2</f>
        <v>40.500000000000007</v>
      </c>
      <c r="H18" s="4"/>
      <c r="I18" s="4">
        <f>$I$3*4%/2*0.875</f>
        <v>157.5</v>
      </c>
      <c r="J18" s="4"/>
      <c r="K18" s="4">
        <f>$K$3*3.7%*0.875/2</f>
        <v>48.562500000000007</v>
      </c>
      <c r="L18" s="4"/>
      <c r="M18" s="4">
        <f>M3*3.85%*0.875/2+M3</f>
        <v>9151.59375</v>
      </c>
      <c r="N18" s="4"/>
      <c r="O18" s="4"/>
      <c r="P18" s="4"/>
      <c r="AB18" s="15">
        <f t="shared" ref="AB18:AD18" si="19">A21</f>
        <v>47756</v>
      </c>
      <c r="AC18" s="16">
        <f t="shared" si="19"/>
        <v>15000</v>
      </c>
      <c r="AD18" s="16">
        <f t="shared" si="19"/>
        <v>15290.71875</v>
      </c>
      <c r="AE18" s="16">
        <f t="shared" si="1"/>
        <v>557.01375000000007</v>
      </c>
    </row>
    <row r="19" spans="1:31">
      <c r="A19" s="1">
        <v>47573</v>
      </c>
      <c r="B19" s="17">
        <v>12000</v>
      </c>
      <c r="C19" s="13">
        <f t="shared" si="4"/>
        <v>12474.46875</v>
      </c>
      <c r="D19" s="13">
        <f t="shared" si="6"/>
        <v>474.46875</v>
      </c>
      <c r="E19" s="13">
        <f>SUM($D$5:D19)</f>
        <v>19.732500000000073</v>
      </c>
      <c r="F19" s="4">
        <f>F3*(3.45%*0.875)/2</f>
        <v>90.562500000000014</v>
      </c>
      <c r="G19" s="4"/>
      <c r="H19" s="4">
        <f>$H$3*3.5%*0.875/2</f>
        <v>137.81250000000003</v>
      </c>
      <c r="I19" s="4"/>
      <c r="J19" s="4">
        <f>$J$3*0.95%*0.875/2</f>
        <v>62.34375</v>
      </c>
      <c r="K19" s="4"/>
      <c r="L19" s="4">
        <f>L3*3.5%*0.875/2+L3</f>
        <v>12183.75</v>
      </c>
      <c r="N19" s="4"/>
      <c r="O19" s="4"/>
      <c r="P19" s="4"/>
      <c r="AB19" s="15">
        <f t="shared" ref="AB19:AD19" si="20">A22</f>
        <v>47848</v>
      </c>
      <c r="AC19" s="16">
        <f t="shared" si="20"/>
        <v>9000</v>
      </c>
      <c r="AD19" s="16">
        <f t="shared" si="20"/>
        <v>9198</v>
      </c>
      <c r="AE19" s="16">
        <f t="shared" si="1"/>
        <v>755.01375000000007</v>
      </c>
    </row>
    <row r="20" spans="1:31">
      <c r="A20" s="1">
        <v>47664</v>
      </c>
      <c r="B20" s="17">
        <v>3000</v>
      </c>
      <c r="C20" s="13">
        <f t="shared" si="4"/>
        <v>3246.5625</v>
      </c>
      <c r="D20" s="13">
        <f t="shared" si="6"/>
        <v>246.5625</v>
      </c>
      <c r="E20" s="13">
        <f>SUM($D$5:D20)</f>
        <v>266.29500000000007</v>
      </c>
      <c r="F20" s="4"/>
      <c r="G20" s="4">
        <f>$G$3*0.9%/2</f>
        <v>40.500000000000007</v>
      </c>
      <c r="H20" s="4"/>
      <c r="I20" s="4">
        <f>$I$3*4%/2*0.875</f>
        <v>157.5</v>
      </c>
      <c r="J20" s="4"/>
      <c r="K20" s="4">
        <f>K3*3.7%*0.875/2+K3</f>
        <v>3048.5625</v>
      </c>
      <c r="L20" s="4"/>
      <c r="M20" s="4"/>
      <c r="N20" s="4"/>
      <c r="O20" s="4"/>
      <c r="P20" s="4"/>
      <c r="AB20" s="15">
        <f t="shared" ref="AB20:AD20" si="21">A23</f>
        <v>47938</v>
      </c>
      <c r="AC20" s="16">
        <f t="shared" si="21"/>
        <v>9000</v>
      </c>
      <c r="AD20" s="16">
        <f t="shared" si="21"/>
        <v>9228.375</v>
      </c>
      <c r="AE20" s="16">
        <f t="shared" si="1"/>
        <v>983.38875000000007</v>
      </c>
    </row>
    <row r="21" spans="1:31">
      <c r="A21" s="1">
        <v>47756</v>
      </c>
      <c r="B21" s="17">
        <v>15000</v>
      </c>
      <c r="C21" s="13">
        <f t="shared" si="4"/>
        <v>15290.71875</v>
      </c>
      <c r="D21" s="13">
        <f t="shared" si="6"/>
        <v>290.71875</v>
      </c>
      <c r="E21" s="13">
        <f>SUM($D$5:D21)</f>
        <v>557.01375000000007</v>
      </c>
      <c r="F21" s="4">
        <f>F3*(3.45%*0.875)/2</f>
        <v>90.562500000000014</v>
      </c>
      <c r="G21" s="4"/>
      <c r="H21" s="4">
        <f>$H$3*3.5%*0.875/2</f>
        <v>137.81250000000003</v>
      </c>
      <c r="I21" s="4"/>
      <c r="J21" s="4">
        <f>J3*0.95%*0.875/2+J3</f>
        <v>15062.34375</v>
      </c>
      <c r="K21" s="4"/>
      <c r="L21" s="4"/>
      <c r="M21" s="4"/>
      <c r="N21" s="4"/>
      <c r="O21" s="4"/>
      <c r="P21" s="4"/>
      <c r="AB21" s="15">
        <f t="shared" ref="AB21:AD21" si="22">A24</f>
        <v>48029</v>
      </c>
      <c r="AC21" s="16">
        <f t="shared" si="22"/>
        <v>9000</v>
      </c>
      <c r="AD21" s="16">
        <f t="shared" si="22"/>
        <v>9035.4375</v>
      </c>
      <c r="AE21" s="16">
        <f t="shared" si="1"/>
        <v>1018.8262500000001</v>
      </c>
    </row>
    <row r="22" spans="1:31">
      <c r="A22" s="1">
        <v>47848</v>
      </c>
      <c r="B22" s="17">
        <v>9000</v>
      </c>
      <c r="C22" s="13">
        <f t="shared" si="4"/>
        <v>9198</v>
      </c>
      <c r="D22" s="13">
        <f t="shared" si="6"/>
        <v>198</v>
      </c>
      <c r="E22" s="13">
        <f>SUM($D$5:D22)</f>
        <v>755.01375000000007</v>
      </c>
      <c r="F22" s="4"/>
      <c r="G22" s="4">
        <f>$G$3*0.9%/2</f>
        <v>40.500000000000007</v>
      </c>
      <c r="H22" s="4"/>
      <c r="I22" s="4">
        <f>I3*4%/2*0.875+I3</f>
        <v>9157.5</v>
      </c>
      <c r="J22" s="4"/>
      <c r="AB22" s="15">
        <f t="shared" ref="AB22:AD22" si="23">A25</f>
        <v>48121</v>
      </c>
      <c r="AC22" s="16">
        <f t="shared" si="23"/>
        <v>6000</v>
      </c>
      <c r="AD22" s="16">
        <f t="shared" si="23"/>
        <v>6090.5625</v>
      </c>
      <c r="AE22" s="16">
        <f t="shared" si="1"/>
        <v>1109.3887500000001</v>
      </c>
    </row>
    <row r="23" spans="1:31">
      <c r="A23" s="1">
        <v>47938</v>
      </c>
      <c r="B23" s="17">
        <v>9000</v>
      </c>
      <c r="C23" s="13">
        <f t="shared" si="4"/>
        <v>9228.375</v>
      </c>
      <c r="D23" s="13">
        <f t="shared" si="6"/>
        <v>228.375</v>
      </c>
      <c r="E23" s="13">
        <f>SUM($D$5:D23)</f>
        <v>983.38875000000007</v>
      </c>
      <c r="F23" s="4">
        <f>F3*(3.45%*0.875)/2</f>
        <v>90.562500000000014</v>
      </c>
      <c r="G23" s="4"/>
      <c r="H23" s="4">
        <f>H3*3.5%*0.875/2+H3</f>
        <v>9137.8125</v>
      </c>
      <c r="I23" s="4"/>
      <c r="J23" s="4"/>
    </row>
    <row r="24" spans="1:31">
      <c r="A24" s="1">
        <v>48029</v>
      </c>
      <c r="B24" s="17">
        <v>9000</v>
      </c>
      <c r="C24" s="13">
        <f t="shared" si="4"/>
        <v>9035.4375</v>
      </c>
      <c r="D24" s="13">
        <f t="shared" si="6"/>
        <v>35.4375</v>
      </c>
      <c r="E24" s="13">
        <f>SUM($D$5:D24)</f>
        <v>1018.8262500000001</v>
      </c>
      <c r="G24" s="4">
        <f>$G$3*0.9%*0.875/2+G3</f>
        <v>9035.4375</v>
      </c>
      <c r="H24" s="4"/>
    </row>
    <row r="25" spans="1:31">
      <c r="A25" s="1">
        <v>48121</v>
      </c>
      <c r="B25" s="17">
        <v>6000</v>
      </c>
      <c r="C25" s="13">
        <f t="shared" si="4"/>
        <v>6090.5625</v>
      </c>
      <c r="D25" s="13">
        <f t="shared" si="6"/>
        <v>90.5625</v>
      </c>
      <c r="E25" s="13">
        <f>SUM($D$5:D25)</f>
        <v>1109.3887500000001</v>
      </c>
      <c r="F25" s="4">
        <f>F3*(3.45%*0.875)/2+F3</f>
        <v>6090.5625</v>
      </c>
      <c r="G25" s="4"/>
      <c r="H25" s="4"/>
    </row>
    <row r="26" spans="1:31">
      <c r="A26" s="1"/>
      <c r="B26" s="4"/>
      <c r="C26" s="4"/>
      <c r="D26" s="4"/>
      <c r="E26" s="4"/>
    </row>
    <row r="27" spans="1:31">
      <c r="D27" t="s">
        <v>37</v>
      </c>
      <c r="E27" s="12">
        <f>AVERAGE(E5:E25)</f>
        <v>239.82327380952387</v>
      </c>
    </row>
    <row r="28" spans="1:31">
      <c r="D28" t="s">
        <v>38</v>
      </c>
      <c r="E28" s="12">
        <f>_xlfn.STDEV.S(E5:E25)</f>
        <v>642.64432671172153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31">
      <c r="F29" s="13">
        <f>MROUND(F3,1000)</f>
        <v>6000</v>
      </c>
      <c r="G29" s="13">
        <f t="shared" ref="G29:Z29" si="24">MROUND(G3,1000)</f>
        <v>9000</v>
      </c>
      <c r="H29" s="13">
        <f t="shared" si="24"/>
        <v>9000</v>
      </c>
      <c r="I29" s="13">
        <f t="shared" si="24"/>
        <v>9000</v>
      </c>
      <c r="J29" s="13">
        <f t="shared" si="24"/>
        <v>15000</v>
      </c>
      <c r="K29" s="13">
        <f t="shared" si="24"/>
        <v>3000</v>
      </c>
      <c r="L29" s="13">
        <f t="shared" si="24"/>
        <v>12000</v>
      </c>
      <c r="M29" s="13">
        <f t="shared" si="24"/>
        <v>9000</v>
      </c>
      <c r="N29" s="13">
        <f t="shared" si="24"/>
        <v>11000</v>
      </c>
      <c r="O29" s="13">
        <f t="shared" si="24"/>
        <v>3000</v>
      </c>
      <c r="P29" s="13">
        <f t="shared" si="24"/>
        <v>11000</v>
      </c>
      <c r="Q29" s="13">
        <f t="shared" si="24"/>
        <v>8000</v>
      </c>
      <c r="R29" s="13">
        <f t="shared" si="24"/>
        <v>11000</v>
      </c>
      <c r="S29" s="13">
        <f t="shared" si="24"/>
        <v>2000</v>
      </c>
      <c r="T29" s="13">
        <f t="shared" si="24"/>
        <v>11000</v>
      </c>
      <c r="U29" s="13">
        <f t="shared" si="24"/>
        <v>8000</v>
      </c>
      <c r="V29" s="13">
        <f t="shared" si="24"/>
        <v>11000</v>
      </c>
      <c r="W29" s="13">
        <f t="shared" si="24"/>
        <v>2000</v>
      </c>
      <c r="X29" s="13">
        <f t="shared" si="24"/>
        <v>11000</v>
      </c>
      <c r="Y29" s="13">
        <f t="shared" si="24"/>
        <v>9000</v>
      </c>
      <c r="Z29" s="13">
        <f t="shared" si="24"/>
        <v>14000</v>
      </c>
    </row>
    <row r="32" spans="1:31">
      <c r="B32" s="13">
        <f>SUM(B5:B25)</f>
        <v>195000</v>
      </c>
      <c r="C32" s="13">
        <f>B32+C4</f>
        <v>12104.540700000012</v>
      </c>
      <c r="D32" s="12">
        <f>SUM(D5:D25)</f>
        <v>1109.3887500000001</v>
      </c>
      <c r="E32" s="12"/>
    </row>
    <row r="34" spans="2:2">
      <c r="B34" s="9" t="s">
        <v>10</v>
      </c>
    </row>
    <row r="35" spans="2:2">
      <c r="B35" s="7">
        <f>XIRR(C4:C25,A4:A25)</f>
        <v>2.6778450608253481E-2</v>
      </c>
    </row>
  </sheetData>
  <scenarios current="0">
    <scenario name="Min_stdev" count="21" user="Rodolfo Vanzini" comment="Created by Rodolfo Vanzini on 6/16/2026">
      <inputCells r="F3" val="11821,6009854322" numFmtId="3"/>
      <inputCells r="G3" val="11952,9077869774" numFmtId="3"/>
      <inputCells r="H3" val="11643,3289304544" numFmtId="3"/>
      <inputCells r="I3" val="11740,7203639914" numFmtId="3"/>
      <inputCells r="J3" val="11595,1631954282" numFmtId="3"/>
      <inputCells r="K3" val="11553,647341" numFmtId="3"/>
      <inputCells r="L3" val="11420,2228380274" numFmtId="3"/>
      <inputCells r="M3" val="11362,338847487" numFmtId="3"/>
      <inputCells r="N3" val="11272,265723832" numFmtId="3"/>
      <inputCells r="O3" val="11224,8315968361" numFmtId="3"/>
      <inputCells r="P3" val="11155,1450143966" numFmtId="3"/>
      <inputCells r="Q3" val="11088,9831465111" numFmtId="3"/>
      <inputCells r="R3" val="10928,0495678947" numFmtId="3"/>
      <inputCells r="S3" val="10961,9090841096" numFmtId="3"/>
      <inputCells r="T3" val="10916,0868525091" numFmtId="3"/>
      <inputCells r="U3" val="10836,2711517995" numFmtId="3"/>
      <inputCells r="V3" val="10870,9257880368" numFmtId="3"/>
      <inputCells r="W3" val="10732,9840615489" numFmtId="3"/>
      <inputCells r="X3" val="10750,9621886299" numFmtId="3"/>
      <inputCells r="Y3" val="10674,6411659801" numFmtId="3"/>
      <inputCells r="Z3" val="10999,9999999729" numFmtId="3"/>
    </scenario>
  </scenario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A65F-C56B-1849-AF13-76331CC88AFF}">
  <dimension ref="A1:AB23"/>
  <sheetViews>
    <sheetView tabSelected="1" workbookViewId="0">
      <selection activeCell="E8" sqref="E8"/>
    </sheetView>
  </sheetViews>
  <sheetFormatPr baseColWidth="10" defaultRowHeight="14"/>
  <sheetData>
    <row r="1" spans="1:28">
      <c r="A1" t="str">
        <f>Sheet4!A3</f>
        <v>Trimestri</v>
      </c>
      <c r="B1" t="str">
        <f>Sheet4!B4</f>
        <v>Impegno</v>
      </c>
      <c r="C1" t="s">
        <v>43</v>
      </c>
      <c r="D1" s="4" t="str">
        <f>Sheet4!D4</f>
        <v>Deficit/surplus</v>
      </c>
      <c r="E1" t="str">
        <f>Sheet4!F1</f>
        <v>IT0005595803 15/7/31 3,45%</v>
      </c>
      <c r="F1" t="str">
        <f>Sheet4!G1</f>
        <v>IT0005422891 01/04/31 0,90%</v>
      </c>
      <c r="G1" t="str">
        <f>Sheet4!H1</f>
        <v>IT0005580094 1/3/2031 3,50%</v>
      </c>
      <c r="H1" t="str">
        <f>Sheet4!I1</f>
        <v>IT0005561888 15/11/30 4,0%</v>
      </c>
      <c r="I1" t="str">
        <f>Sheet4!J1</f>
        <v>IT0005403396 1/8/30 0,95%</v>
      </c>
      <c r="J1" t="str">
        <f>Sheet4!K1</f>
        <v>IT0005542797 14/6/30 3,70%</v>
      </c>
      <c r="K1" t="str">
        <f>Sheet4!L1</f>
        <v>IT0005024234 3,50% 1/3/30</v>
      </c>
      <c r="L1" t="str">
        <f>Sheet4!M1</f>
        <v>IT0005519787 3,85% 15/12/29</v>
      </c>
      <c r="M1" t="str">
        <f>Sheet4!N1</f>
        <v>IT0005716839 3,0% 15/9/29</v>
      </c>
      <c r="N1" t="str">
        <f>Sheet4!O1</f>
        <v>IT0005495731 2,80% 15/6/29</v>
      </c>
      <c r="O1" t="str">
        <f>Sheet4!P1</f>
        <v>IT0005689960 2,40% 15/3/29</v>
      </c>
      <c r="P1" t="str">
        <f>Sheet4!Q1</f>
        <v>IT0005340929 2,80% 1/12/28</v>
      </c>
      <c r="Q1" t="str">
        <f>Sheet4!R1</f>
        <v>IT0004889033 4,75% 1/9/28</v>
      </c>
      <c r="R1" t="str">
        <f>Sheet4!S1</f>
        <v>IT0005641029 2,65% 15/6/28</v>
      </c>
      <c r="S1" t="str">
        <f>Sheet4!T1</f>
        <v>IT0005433690 0,25% 15/3/28</v>
      </c>
      <c r="T1" t="str">
        <f>Sheet4!U1</f>
        <v>IT0005500068 2,65% 1/12/27</v>
      </c>
      <c r="U1" t="str">
        <f>Sheet4!V1</f>
        <v>IT0005416570 0,95% 15/9/27</v>
      </c>
      <c r="V1" t="str">
        <f>Sheet4!W1</f>
        <v>IT0005240830 2,20% 1/6/27</v>
      </c>
      <c r="W1" t="str">
        <f>Sheet4!X1</f>
        <v>IT0005633794 2,55% 25/2/27</v>
      </c>
      <c r="X1" t="str">
        <f>Sheet4!Y1</f>
        <v>IT0005210650 1,25% 1/12/26</v>
      </c>
      <c r="Y1" t="str">
        <f>Sheet4!Z1</f>
        <v>IT0005669269 BOT zc 30/9/26</v>
      </c>
    </row>
    <row r="2" spans="1:28">
      <c r="A2" s="1">
        <f>Sheet4!A4</f>
        <v>46203</v>
      </c>
      <c r="B2" s="18">
        <v>0</v>
      </c>
      <c r="C2" s="18">
        <f>Sheet4!C4</f>
        <v>-182895.45929999999</v>
      </c>
      <c r="D2" s="18"/>
      <c r="E2" s="18">
        <f>Sheet4!F4</f>
        <v>-6106.1772000000001</v>
      </c>
      <c r="F2" s="18">
        <f>Sheet4!G4</f>
        <v>-8154.0162</v>
      </c>
      <c r="G2" s="18">
        <f>Sheet4!H4</f>
        <v>-9179.9856</v>
      </c>
      <c r="H2" s="18">
        <f>Sheet4!I4</f>
        <v>-9366.7239000000009</v>
      </c>
      <c r="I2" s="18">
        <f>Sheet4!J4</f>
        <v>-13851.198</v>
      </c>
      <c r="J2" s="18">
        <f>Sheet4!K4</f>
        <v>-3084.4404</v>
      </c>
      <c r="K2" s="18">
        <f>Sheet4!L4</f>
        <v>-12260.553599999999</v>
      </c>
      <c r="L2" s="18">
        <f>Sheet4!M4</f>
        <v>-9286.7543999999998</v>
      </c>
      <c r="M2" s="18">
        <f>Sheet4!N4</f>
        <v>-11044</v>
      </c>
      <c r="N2" s="18">
        <f>Sheet4!O4</f>
        <v>-2998.8</v>
      </c>
      <c r="O2" s="18">
        <f>Sheet4!P4</f>
        <v>-10885.6</v>
      </c>
      <c r="P2" s="18">
        <f>Sheet4!Q4</f>
        <v>-8014.4</v>
      </c>
      <c r="Q2" s="18">
        <f>Sheet4!R4</f>
        <v>-11474.1</v>
      </c>
      <c r="R2" s="18">
        <f>Sheet4!S4</f>
        <v>-1997</v>
      </c>
      <c r="S2" s="18">
        <f>Sheet4!T4</f>
        <v>-10549</v>
      </c>
      <c r="T2" s="18">
        <f>Sheet4!U4</f>
        <v>-8000</v>
      </c>
      <c r="U2" s="18">
        <f>Sheet4!V4</f>
        <v>-10774.5</v>
      </c>
      <c r="V2" s="18">
        <f>Sheet4!W4</f>
        <v>-1993</v>
      </c>
      <c r="W2" s="18">
        <f>Sheet4!X4</f>
        <v>-10997.8</v>
      </c>
      <c r="X2" s="18">
        <f>Sheet4!Y4</f>
        <v>-8954.5499999999993</v>
      </c>
      <c r="Y2" s="18">
        <f>Sheet4!Z4</f>
        <v>-13922.86</v>
      </c>
    </row>
    <row r="3" spans="1:28">
      <c r="A3" s="1">
        <f>Sheet4!A5</f>
        <v>46295</v>
      </c>
      <c r="B3" s="18">
        <f>Sheet4!B5</f>
        <v>15000</v>
      </c>
      <c r="C3" s="18">
        <f>Sheet4!C5</f>
        <v>15133.76375</v>
      </c>
      <c r="D3" s="18">
        <f>Sheet4!D5</f>
        <v>133.76375000000007</v>
      </c>
      <c r="E3" s="18">
        <f>Sheet4!F5</f>
        <v>90.562500000000014</v>
      </c>
      <c r="F3" s="18">
        <f>Sheet4!G5</f>
        <v>0</v>
      </c>
      <c r="G3" s="18">
        <f>Sheet4!H5</f>
        <v>137.81250000000003</v>
      </c>
      <c r="H3" s="18">
        <f>Sheet4!I5</f>
        <v>0</v>
      </c>
      <c r="I3" s="18">
        <f>Sheet4!J5</f>
        <v>62.34375</v>
      </c>
      <c r="J3" s="18">
        <f>Sheet4!K5</f>
        <v>0</v>
      </c>
      <c r="K3" s="18">
        <f>Sheet4!L5</f>
        <v>183.75000000000003</v>
      </c>
      <c r="L3" s="18">
        <f>Sheet4!M5</f>
        <v>0</v>
      </c>
      <c r="M3" s="18">
        <f>Sheet4!N5</f>
        <v>144.375</v>
      </c>
      <c r="N3" s="18">
        <f>Sheet4!O5</f>
        <v>0</v>
      </c>
      <c r="O3" s="18">
        <f>Sheet4!P5</f>
        <v>115.5</v>
      </c>
      <c r="P3" s="18">
        <f>Sheet4!Q5</f>
        <v>0</v>
      </c>
      <c r="Q3" s="18">
        <f>Sheet4!R5</f>
        <v>228.59375</v>
      </c>
      <c r="R3" s="18">
        <f>Sheet4!S5</f>
        <v>0</v>
      </c>
      <c r="S3" s="18">
        <f>Sheet4!T5</f>
        <v>12.03125</v>
      </c>
      <c r="T3" s="18">
        <f>Sheet4!U5</f>
        <v>0</v>
      </c>
      <c r="U3" s="18">
        <f>Sheet4!V5</f>
        <v>45.71875</v>
      </c>
      <c r="V3" s="18">
        <f>Sheet4!W5</f>
        <v>0</v>
      </c>
      <c r="W3" s="18">
        <f>Sheet4!X5</f>
        <v>122.71875</v>
      </c>
      <c r="X3" s="18">
        <f>Sheet4!Y5</f>
        <v>0</v>
      </c>
      <c r="Y3" s="18">
        <f>Sheet4!Z5</f>
        <v>13990.3575</v>
      </c>
      <c r="Z3" s="4"/>
      <c r="AA3" s="4"/>
      <c r="AB3" s="4"/>
    </row>
    <row r="4" spans="1:28">
      <c r="A4" s="1">
        <f>Sheet4!A6</f>
        <v>46387</v>
      </c>
      <c r="B4" s="18">
        <f>Sheet4!B6</f>
        <v>9000</v>
      </c>
      <c r="C4" s="18">
        <f>Sheet4!C6</f>
        <v>9717.3125</v>
      </c>
      <c r="D4" s="18">
        <f>Sheet4!D6</f>
        <v>717.3125</v>
      </c>
      <c r="E4" s="18">
        <f>Sheet4!F6</f>
        <v>0</v>
      </c>
      <c r="F4" s="18">
        <f>Sheet4!G6</f>
        <v>40.500000000000007</v>
      </c>
      <c r="G4" s="18">
        <f>Sheet4!H6</f>
        <v>0</v>
      </c>
      <c r="H4" s="18">
        <f>Sheet4!I6</f>
        <v>157.5</v>
      </c>
      <c r="I4" s="18">
        <f>Sheet4!J6</f>
        <v>0</v>
      </c>
      <c r="J4" s="18">
        <f>Sheet4!K6</f>
        <v>48.562500000000007</v>
      </c>
      <c r="K4" s="18">
        <f>Sheet4!L6</f>
        <v>0</v>
      </c>
      <c r="L4" s="18">
        <f>Sheet4!M6</f>
        <v>151.59375</v>
      </c>
      <c r="M4" s="18">
        <f>Sheet4!N6</f>
        <v>0</v>
      </c>
      <c r="N4" s="18">
        <f>Sheet4!O6</f>
        <v>36.749999999999993</v>
      </c>
      <c r="O4" s="18">
        <f>Sheet4!P6</f>
        <v>0</v>
      </c>
      <c r="P4" s="18">
        <f>Sheet4!Q6</f>
        <v>97.999999999999986</v>
      </c>
      <c r="Q4" s="18">
        <f>Sheet4!R6</f>
        <v>0</v>
      </c>
      <c r="R4" s="18">
        <f>Sheet4!S6</f>
        <v>23.1875</v>
      </c>
      <c r="S4" s="18">
        <f>Sheet4!T6</f>
        <v>0</v>
      </c>
      <c r="T4" s="18">
        <f>Sheet4!U6</f>
        <v>92.75</v>
      </c>
      <c r="U4" s="18">
        <f>Sheet4!V6</f>
        <v>0</v>
      </c>
      <c r="V4" s="18">
        <f>Sheet4!W6</f>
        <v>19.250000000000004</v>
      </c>
      <c r="W4" s="18">
        <f>Sheet4!X6</f>
        <v>0</v>
      </c>
      <c r="X4" s="18">
        <f>Sheet4!Y6</f>
        <v>9049.21875</v>
      </c>
      <c r="Y4" s="18">
        <f>Sheet4!Z6</f>
        <v>0</v>
      </c>
    </row>
    <row r="5" spans="1:28">
      <c r="A5" s="1">
        <f>Sheet4!A7</f>
        <v>46477</v>
      </c>
      <c r="B5" s="18">
        <f>Sheet4!B7</f>
        <v>12000</v>
      </c>
      <c r="C5" s="18">
        <f>Sheet4!C7</f>
        <v>12143.40625</v>
      </c>
      <c r="D5" s="18">
        <f>Sheet4!D7</f>
        <v>143.40625</v>
      </c>
      <c r="E5" s="18">
        <f>Sheet4!F7</f>
        <v>90.562500000000014</v>
      </c>
      <c r="F5" s="18">
        <f>Sheet4!G7</f>
        <v>0</v>
      </c>
      <c r="G5" s="18">
        <f>Sheet4!H7</f>
        <v>137.81250000000003</v>
      </c>
      <c r="H5" s="18">
        <f>Sheet4!I7</f>
        <v>0</v>
      </c>
      <c r="I5" s="18">
        <f>Sheet4!J7</f>
        <v>62.34375</v>
      </c>
      <c r="J5" s="18">
        <f>Sheet4!K7</f>
        <v>0</v>
      </c>
      <c r="K5" s="18">
        <f>Sheet4!L7</f>
        <v>183.75000000000003</v>
      </c>
      <c r="L5" s="18">
        <f>Sheet4!M7</f>
        <v>0</v>
      </c>
      <c r="M5" s="18">
        <f>Sheet4!N7</f>
        <v>144.375</v>
      </c>
      <c r="N5" s="18">
        <f>Sheet4!O7</f>
        <v>0</v>
      </c>
      <c r="O5" s="18">
        <f>Sheet4!P7</f>
        <v>115.5</v>
      </c>
      <c r="P5" s="18">
        <f>Sheet4!Q7</f>
        <v>0</v>
      </c>
      <c r="Q5" s="18">
        <f>Sheet4!R7</f>
        <v>228.59375</v>
      </c>
      <c r="R5" s="18">
        <f>Sheet4!S7</f>
        <v>0</v>
      </c>
      <c r="S5" s="18">
        <f>Sheet4!T7</f>
        <v>12.03125</v>
      </c>
      <c r="T5" s="18">
        <f>Sheet4!U7</f>
        <v>0</v>
      </c>
      <c r="U5" s="18">
        <f>Sheet4!V7</f>
        <v>45.71875</v>
      </c>
      <c r="V5" s="18">
        <f>Sheet4!W7</f>
        <v>0</v>
      </c>
      <c r="W5" s="18">
        <f>Sheet4!X7</f>
        <v>11122.71875</v>
      </c>
      <c r="X5" s="18">
        <f>Sheet4!Y7</f>
        <v>0</v>
      </c>
      <c r="Y5" s="18">
        <f>Sheet4!Z7</f>
        <v>0</v>
      </c>
    </row>
    <row r="6" spans="1:28">
      <c r="A6" s="1">
        <f>Sheet4!A8</f>
        <v>46568</v>
      </c>
      <c r="B6" s="18">
        <f>Sheet4!B8</f>
        <v>3000</v>
      </c>
      <c r="C6" s="18">
        <f>Sheet4!C8</f>
        <v>2668.09375</v>
      </c>
      <c r="D6" s="18">
        <f>Sheet4!D8</f>
        <v>-331.90625</v>
      </c>
      <c r="E6" s="18">
        <f>Sheet4!F8</f>
        <v>0</v>
      </c>
      <c r="F6" s="18">
        <f>Sheet4!G8</f>
        <v>40.500000000000007</v>
      </c>
      <c r="G6" s="18">
        <f>Sheet4!H8</f>
        <v>0</v>
      </c>
      <c r="H6" s="18">
        <f>Sheet4!I8</f>
        <v>157.5</v>
      </c>
      <c r="I6" s="18">
        <f>Sheet4!J8</f>
        <v>0</v>
      </c>
      <c r="J6" s="18">
        <f>Sheet4!K8</f>
        <v>48.562500000000007</v>
      </c>
      <c r="K6" s="18">
        <f>Sheet4!L8</f>
        <v>0</v>
      </c>
      <c r="L6" s="18">
        <f>Sheet4!M8</f>
        <v>151.59375</v>
      </c>
      <c r="M6" s="18">
        <f>Sheet4!N8</f>
        <v>0</v>
      </c>
      <c r="N6" s="18">
        <f>Sheet4!O8</f>
        <v>36.749999999999993</v>
      </c>
      <c r="O6" s="18">
        <f>Sheet4!P8</f>
        <v>0</v>
      </c>
      <c r="P6" s="18">
        <f>Sheet4!Q8</f>
        <v>97.999999999999986</v>
      </c>
      <c r="Q6" s="18">
        <f>Sheet4!R8</f>
        <v>0</v>
      </c>
      <c r="R6" s="18">
        <f>Sheet4!S8</f>
        <v>23.1875</v>
      </c>
      <c r="S6" s="18">
        <f>Sheet4!T8</f>
        <v>0</v>
      </c>
      <c r="T6" s="18">
        <f>Sheet4!U8</f>
        <v>92.75</v>
      </c>
      <c r="U6" s="18">
        <f>Sheet4!V8</f>
        <v>0</v>
      </c>
      <c r="V6" s="18">
        <f>Sheet4!W8</f>
        <v>2019.25</v>
      </c>
      <c r="W6" s="18">
        <f>Sheet4!X8</f>
        <v>0</v>
      </c>
      <c r="X6" s="18">
        <f>Sheet4!Y8</f>
        <v>0</v>
      </c>
      <c r="Y6" s="18">
        <f>Sheet4!Z8</f>
        <v>0</v>
      </c>
    </row>
    <row r="7" spans="1:28">
      <c r="A7" s="1">
        <f>Sheet4!A9</f>
        <v>46660</v>
      </c>
      <c r="B7" s="18">
        <f>Sheet4!B9</f>
        <v>12000</v>
      </c>
      <c r="C7" s="18">
        <f>Sheet4!C9</f>
        <v>12020.6875</v>
      </c>
      <c r="D7" s="18">
        <f>Sheet4!D9</f>
        <v>20.6875</v>
      </c>
      <c r="E7" s="18">
        <f>Sheet4!F9</f>
        <v>90.562500000000014</v>
      </c>
      <c r="F7" s="18">
        <f>Sheet4!G9</f>
        <v>0</v>
      </c>
      <c r="G7" s="18">
        <f>Sheet4!H9</f>
        <v>137.81250000000003</v>
      </c>
      <c r="H7" s="18">
        <f>Sheet4!I9</f>
        <v>0</v>
      </c>
      <c r="I7" s="18">
        <f>Sheet4!J9</f>
        <v>62.34375</v>
      </c>
      <c r="J7" s="18">
        <f>Sheet4!K9</f>
        <v>0</v>
      </c>
      <c r="K7" s="18">
        <f>Sheet4!L9</f>
        <v>183.75000000000003</v>
      </c>
      <c r="L7" s="18">
        <f>Sheet4!M9</f>
        <v>0</v>
      </c>
      <c r="M7" s="18">
        <f>Sheet4!N9</f>
        <v>144.375</v>
      </c>
      <c r="N7" s="18">
        <f>Sheet4!O9</f>
        <v>0</v>
      </c>
      <c r="O7" s="18">
        <f>Sheet4!P9</f>
        <v>115.5</v>
      </c>
      <c r="P7" s="18">
        <f>Sheet4!Q9</f>
        <v>0</v>
      </c>
      <c r="Q7" s="18">
        <f>Sheet4!R9</f>
        <v>228.59375</v>
      </c>
      <c r="R7" s="18">
        <f>Sheet4!S9</f>
        <v>0</v>
      </c>
      <c r="S7" s="18">
        <f>Sheet4!T9</f>
        <v>12.03125</v>
      </c>
      <c r="T7" s="18">
        <f>Sheet4!U9</f>
        <v>0</v>
      </c>
      <c r="U7" s="18">
        <f>Sheet4!V9</f>
        <v>11045.71875</v>
      </c>
      <c r="V7" s="18">
        <f>Sheet4!W9</f>
        <v>0</v>
      </c>
      <c r="W7" s="18">
        <f>Sheet4!X9</f>
        <v>0</v>
      </c>
      <c r="X7" s="18">
        <f>Sheet4!Y9</f>
        <v>0</v>
      </c>
      <c r="Y7" s="18">
        <f>Sheet4!Z9</f>
        <v>0</v>
      </c>
    </row>
    <row r="8" spans="1:28">
      <c r="A8" s="1">
        <f>Sheet4!A10</f>
        <v>46752</v>
      </c>
      <c r="B8" s="18">
        <f>Sheet4!B10</f>
        <v>9000</v>
      </c>
      <c r="C8" s="18">
        <f>Sheet4!C10</f>
        <v>8648.84375</v>
      </c>
      <c r="D8" s="18">
        <f>Sheet4!D10</f>
        <v>-351.15625</v>
      </c>
      <c r="E8" s="18">
        <f>Sheet4!F10</f>
        <v>0</v>
      </c>
      <c r="F8" s="18">
        <f>Sheet4!G10</f>
        <v>40.500000000000007</v>
      </c>
      <c r="G8" s="18">
        <f>Sheet4!H10</f>
        <v>0</v>
      </c>
      <c r="H8" s="18">
        <f>Sheet4!I10</f>
        <v>157.5</v>
      </c>
      <c r="I8" s="18">
        <f>Sheet4!J10</f>
        <v>0</v>
      </c>
      <c r="J8" s="18">
        <f>Sheet4!K10</f>
        <v>48.562500000000007</v>
      </c>
      <c r="K8" s="18">
        <f>Sheet4!L10</f>
        <v>0</v>
      </c>
      <c r="L8" s="18">
        <f>Sheet4!M10</f>
        <v>151.59375</v>
      </c>
      <c r="M8" s="18">
        <f>Sheet4!N10</f>
        <v>0</v>
      </c>
      <c r="N8" s="18">
        <f>Sheet4!O10</f>
        <v>36.749999999999993</v>
      </c>
      <c r="O8" s="18">
        <f>Sheet4!P10</f>
        <v>0</v>
      </c>
      <c r="P8" s="18">
        <f>Sheet4!Q10</f>
        <v>97.999999999999986</v>
      </c>
      <c r="Q8" s="18">
        <f>Sheet4!R10</f>
        <v>0</v>
      </c>
      <c r="R8" s="18">
        <f>Sheet4!S10</f>
        <v>23.1875</v>
      </c>
      <c r="S8" s="18">
        <f>Sheet4!T10</f>
        <v>0</v>
      </c>
      <c r="T8" s="18">
        <f>Sheet4!U10</f>
        <v>8092.75</v>
      </c>
      <c r="U8" s="18">
        <f>Sheet4!V10</f>
        <v>0</v>
      </c>
      <c r="V8" s="18">
        <f>Sheet4!W10</f>
        <v>0</v>
      </c>
      <c r="W8" s="18">
        <f>Sheet4!X10</f>
        <v>0</v>
      </c>
      <c r="X8" s="18">
        <f>Sheet4!Y10</f>
        <v>0</v>
      </c>
      <c r="Y8" s="18">
        <f>Sheet4!Z10</f>
        <v>0</v>
      </c>
    </row>
    <row r="9" spans="1:28">
      <c r="A9" s="1">
        <f>Sheet4!A11</f>
        <v>46843</v>
      </c>
      <c r="B9" s="18">
        <f>Sheet4!B11</f>
        <v>12000</v>
      </c>
      <c r="C9" s="18">
        <f>Sheet4!C11</f>
        <v>11974.96875</v>
      </c>
      <c r="D9" s="18">
        <f>Sheet4!D11</f>
        <v>-25.03125</v>
      </c>
      <c r="E9" s="18">
        <f>Sheet4!F11</f>
        <v>90.562500000000014</v>
      </c>
      <c r="F9" s="18">
        <f>Sheet4!G11</f>
        <v>0</v>
      </c>
      <c r="G9" s="18">
        <f>Sheet4!H11</f>
        <v>137.81250000000003</v>
      </c>
      <c r="H9" s="18">
        <f>Sheet4!I11</f>
        <v>0</v>
      </c>
      <c r="I9" s="18">
        <f>Sheet4!J11</f>
        <v>62.34375</v>
      </c>
      <c r="J9" s="18">
        <f>Sheet4!K11</f>
        <v>0</v>
      </c>
      <c r="K9" s="18">
        <f>Sheet4!L11</f>
        <v>183.75000000000003</v>
      </c>
      <c r="L9" s="18">
        <f>Sheet4!M11</f>
        <v>0</v>
      </c>
      <c r="M9" s="18">
        <f>Sheet4!N11</f>
        <v>144.375</v>
      </c>
      <c r="N9" s="18">
        <f>Sheet4!O11</f>
        <v>0</v>
      </c>
      <c r="O9" s="18">
        <f>Sheet4!P11</f>
        <v>115.5</v>
      </c>
      <c r="P9" s="18">
        <f>Sheet4!Q11</f>
        <v>0</v>
      </c>
      <c r="Q9" s="18">
        <f>Sheet4!R11</f>
        <v>228.59375</v>
      </c>
      <c r="R9" s="18">
        <f>Sheet4!S11</f>
        <v>0</v>
      </c>
      <c r="S9" s="18">
        <f>Sheet4!T11</f>
        <v>11012.03125</v>
      </c>
      <c r="T9" s="18">
        <f>Sheet4!U11</f>
        <v>0</v>
      </c>
      <c r="U9" s="18">
        <f>Sheet4!V11</f>
        <v>0</v>
      </c>
      <c r="V9" s="18">
        <f>Sheet4!W11</f>
        <v>0</v>
      </c>
      <c r="W9" s="18">
        <f>Sheet4!X11</f>
        <v>0</v>
      </c>
      <c r="X9" s="18">
        <f>Sheet4!Y11</f>
        <v>0</v>
      </c>
      <c r="Y9" s="18">
        <f>Sheet4!Z11</f>
        <v>0</v>
      </c>
    </row>
    <row r="10" spans="1:28">
      <c r="A10" s="1">
        <f>Sheet4!A12</f>
        <v>46934</v>
      </c>
      <c r="B10" s="18">
        <f>Sheet4!B12</f>
        <v>3000</v>
      </c>
      <c r="C10" s="18">
        <f>Sheet4!C12</f>
        <v>2556.09375</v>
      </c>
      <c r="D10" s="18">
        <f>Sheet4!D12</f>
        <v>-443.90625</v>
      </c>
      <c r="E10" s="18">
        <f>Sheet4!F12</f>
        <v>0</v>
      </c>
      <c r="F10" s="18">
        <f>Sheet4!G12</f>
        <v>40.500000000000007</v>
      </c>
      <c r="G10" s="18">
        <f>Sheet4!H12</f>
        <v>0</v>
      </c>
      <c r="H10" s="18">
        <f>Sheet4!I12</f>
        <v>157.5</v>
      </c>
      <c r="I10" s="18">
        <f>Sheet4!J12</f>
        <v>0</v>
      </c>
      <c r="J10" s="18">
        <f>Sheet4!K12</f>
        <v>48.562500000000007</v>
      </c>
      <c r="K10" s="18">
        <f>Sheet4!L12</f>
        <v>0</v>
      </c>
      <c r="L10" s="18">
        <f>Sheet4!M12</f>
        <v>151.59375</v>
      </c>
      <c r="M10" s="18">
        <f>Sheet4!N12</f>
        <v>0</v>
      </c>
      <c r="N10" s="18">
        <f>Sheet4!O12</f>
        <v>36.749999999999993</v>
      </c>
      <c r="O10" s="18">
        <f>Sheet4!P12</f>
        <v>0</v>
      </c>
      <c r="P10" s="18">
        <f>Sheet4!Q12</f>
        <v>97.999999999999986</v>
      </c>
      <c r="Q10" s="18">
        <f>Sheet4!R12</f>
        <v>0</v>
      </c>
      <c r="R10" s="18">
        <f>Sheet4!S12</f>
        <v>2023.1875</v>
      </c>
      <c r="S10" s="18">
        <f>Sheet4!T12</f>
        <v>0</v>
      </c>
      <c r="T10" s="18">
        <f>Sheet4!U12</f>
        <v>0</v>
      </c>
      <c r="U10" s="18">
        <f>Sheet4!V12</f>
        <v>0</v>
      </c>
      <c r="V10" s="18">
        <f>Sheet4!W12</f>
        <v>0</v>
      </c>
      <c r="W10" s="18">
        <f>Sheet4!X12</f>
        <v>0</v>
      </c>
      <c r="X10" s="18">
        <f>Sheet4!Y12</f>
        <v>0</v>
      </c>
      <c r="Y10" s="18">
        <f>Sheet4!Z12</f>
        <v>0</v>
      </c>
    </row>
    <row r="11" spans="1:28">
      <c r="A11" s="1">
        <f>Sheet4!A13</f>
        <v>47026</v>
      </c>
      <c r="B11" s="18">
        <f>Sheet4!B13</f>
        <v>12000</v>
      </c>
      <c r="C11" s="18">
        <f>Sheet4!C13</f>
        <v>11962.9375</v>
      </c>
      <c r="D11" s="18">
        <f>Sheet4!D13</f>
        <v>-37.0625</v>
      </c>
      <c r="E11" s="18">
        <f>Sheet4!F13</f>
        <v>90.562500000000014</v>
      </c>
      <c r="F11" s="18">
        <f>Sheet4!G13</f>
        <v>0</v>
      </c>
      <c r="G11" s="18">
        <f>Sheet4!H13</f>
        <v>137.81250000000003</v>
      </c>
      <c r="H11" s="18">
        <f>Sheet4!I13</f>
        <v>0</v>
      </c>
      <c r="I11" s="18">
        <f>Sheet4!J13</f>
        <v>62.34375</v>
      </c>
      <c r="J11" s="18">
        <f>Sheet4!K13</f>
        <v>0</v>
      </c>
      <c r="K11" s="18">
        <f>Sheet4!L13</f>
        <v>183.75000000000003</v>
      </c>
      <c r="L11" s="18">
        <f>Sheet4!M13</f>
        <v>0</v>
      </c>
      <c r="M11" s="18">
        <f>Sheet4!N13</f>
        <v>144.375</v>
      </c>
      <c r="N11" s="18">
        <f>Sheet4!O13</f>
        <v>0</v>
      </c>
      <c r="O11" s="18">
        <f>Sheet4!P13</f>
        <v>115.5</v>
      </c>
      <c r="P11" s="18">
        <f>Sheet4!Q13</f>
        <v>0</v>
      </c>
      <c r="Q11" s="18">
        <f>Sheet4!R13</f>
        <v>11228.59375</v>
      </c>
      <c r="R11" s="18">
        <f>Sheet4!S13</f>
        <v>0</v>
      </c>
      <c r="S11" s="18">
        <f>Sheet4!T13</f>
        <v>0</v>
      </c>
      <c r="T11" s="18">
        <f>Sheet4!U13</f>
        <v>0</v>
      </c>
      <c r="U11" s="18">
        <f>Sheet4!V13</f>
        <v>0</v>
      </c>
      <c r="V11" s="18">
        <f>Sheet4!W13</f>
        <v>0</v>
      </c>
      <c r="W11" s="18">
        <f>Sheet4!X13</f>
        <v>0</v>
      </c>
      <c r="X11" s="18">
        <f>Sheet4!Y13</f>
        <v>0</v>
      </c>
      <c r="Y11" s="18">
        <f>Sheet4!Z13</f>
        <v>0</v>
      </c>
    </row>
    <row r="12" spans="1:28">
      <c r="A12" s="1">
        <f>Sheet4!A14</f>
        <v>47118</v>
      </c>
      <c r="B12" s="18">
        <f>Sheet4!B14</f>
        <v>9000</v>
      </c>
      <c r="C12" s="18">
        <f>Sheet4!C14</f>
        <v>8532.90625</v>
      </c>
      <c r="D12" s="18">
        <f>Sheet4!D14</f>
        <v>-467.09375</v>
      </c>
      <c r="E12" s="18">
        <f>Sheet4!F14</f>
        <v>0</v>
      </c>
      <c r="F12" s="18">
        <f>Sheet4!G14</f>
        <v>40.500000000000007</v>
      </c>
      <c r="G12" s="18">
        <f>Sheet4!H14</f>
        <v>0</v>
      </c>
      <c r="H12" s="18">
        <f>Sheet4!I14</f>
        <v>157.5</v>
      </c>
      <c r="I12" s="18">
        <f>Sheet4!J14</f>
        <v>0</v>
      </c>
      <c r="J12" s="18">
        <f>Sheet4!K14</f>
        <v>48.562500000000007</v>
      </c>
      <c r="K12" s="18">
        <f>Sheet4!L14</f>
        <v>0</v>
      </c>
      <c r="L12" s="18">
        <f>Sheet4!M14</f>
        <v>151.59375</v>
      </c>
      <c r="M12" s="18">
        <f>Sheet4!N14</f>
        <v>0</v>
      </c>
      <c r="N12" s="18">
        <f>Sheet4!O14</f>
        <v>36.749999999999993</v>
      </c>
      <c r="O12" s="18">
        <f>Sheet4!P14</f>
        <v>0</v>
      </c>
      <c r="P12" s="18">
        <f>Sheet4!Q14</f>
        <v>8098</v>
      </c>
      <c r="Q12" s="18">
        <f>Sheet4!R14</f>
        <v>0</v>
      </c>
      <c r="R12" s="18">
        <f>Sheet4!S14</f>
        <v>0</v>
      </c>
      <c r="S12" s="18">
        <f>Sheet4!T14</f>
        <v>0</v>
      </c>
      <c r="T12" s="18">
        <f>Sheet4!U14</f>
        <v>0</v>
      </c>
      <c r="U12" s="18">
        <f>Sheet4!V14</f>
        <v>0</v>
      </c>
      <c r="V12" s="18">
        <f>Sheet4!W14</f>
        <v>0</v>
      </c>
      <c r="W12" s="18">
        <f>Sheet4!X14</f>
        <v>0</v>
      </c>
      <c r="X12" s="18">
        <f>Sheet4!Y14</f>
        <v>0</v>
      </c>
      <c r="Y12" s="18">
        <f>Sheet4!Z14</f>
        <v>0</v>
      </c>
    </row>
    <row r="13" spans="1:28">
      <c r="A13" s="1">
        <f>Sheet4!A15</f>
        <v>47208</v>
      </c>
      <c r="B13" s="18">
        <f>Sheet4!B15</f>
        <v>12000</v>
      </c>
      <c r="C13" s="18">
        <f>Sheet4!C15</f>
        <v>11734.34375</v>
      </c>
      <c r="D13" s="18">
        <f>Sheet4!D15</f>
        <v>-265.65625</v>
      </c>
      <c r="E13" s="18">
        <f>Sheet4!F15</f>
        <v>90.562500000000014</v>
      </c>
      <c r="F13" s="18">
        <f>Sheet4!G15</f>
        <v>0</v>
      </c>
      <c r="G13" s="18">
        <f>Sheet4!H15</f>
        <v>137.81250000000003</v>
      </c>
      <c r="H13" s="18">
        <f>Sheet4!I15</f>
        <v>0</v>
      </c>
      <c r="I13" s="18">
        <f>Sheet4!J15</f>
        <v>62.34375</v>
      </c>
      <c r="J13" s="18">
        <f>Sheet4!K15</f>
        <v>0</v>
      </c>
      <c r="K13" s="18">
        <f>Sheet4!L15</f>
        <v>183.75000000000003</v>
      </c>
      <c r="L13" s="18">
        <f>Sheet4!M15</f>
        <v>0</v>
      </c>
      <c r="M13" s="18">
        <f>Sheet4!N15</f>
        <v>144.375</v>
      </c>
      <c r="N13" s="18">
        <f>Sheet4!O15</f>
        <v>0</v>
      </c>
      <c r="O13" s="18">
        <f>Sheet4!P15</f>
        <v>11115.5</v>
      </c>
      <c r="P13" s="18">
        <f>Sheet4!Q15</f>
        <v>0</v>
      </c>
      <c r="Q13" s="18">
        <f>Sheet4!R15</f>
        <v>0</v>
      </c>
      <c r="R13" s="18">
        <f>Sheet4!S15</f>
        <v>0</v>
      </c>
      <c r="S13" s="18">
        <f>Sheet4!T15</f>
        <v>0</v>
      </c>
      <c r="T13" s="18">
        <f>Sheet4!U15</f>
        <v>0</v>
      </c>
      <c r="U13" s="18">
        <f>Sheet4!V15</f>
        <v>0</v>
      </c>
      <c r="V13" s="18">
        <f>Sheet4!W15</f>
        <v>0</v>
      </c>
      <c r="W13" s="18">
        <f>Sheet4!X15</f>
        <v>0</v>
      </c>
      <c r="X13" s="18">
        <f>Sheet4!Y15</f>
        <v>0</v>
      </c>
      <c r="Y13" s="18">
        <f>Sheet4!Z15</f>
        <v>0</v>
      </c>
    </row>
    <row r="14" spans="1:28">
      <c r="A14" s="1">
        <f>Sheet4!A16</f>
        <v>47299</v>
      </c>
      <c r="B14" s="18">
        <f>Sheet4!B16</f>
        <v>3000</v>
      </c>
      <c r="C14" s="18">
        <f>Sheet4!C16</f>
        <v>3434.90625</v>
      </c>
      <c r="D14" s="18">
        <f>Sheet4!D16</f>
        <v>434.90625</v>
      </c>
      <c r="E14" s="18">
        <f>Sheet4!F16</f>
        <v>0</v>
      </c>
      <c r="F14" s="18">
        <f>Sheet4!G16</f>
        <v>40.500000000000007</v>
      </c>
      <c r="G14" s="18">
        <f>Sheet4!H16</f>
        <v>0</v>
      </c>
      <c r="H14" s="18">
        <f>Sheet4!I16</f>
        <v>157.5</v>
      </c>
      <c r="I14" s="18">
        <f>Sheet4!J16</f>
        <v>0</v>
      </c>
      <c r="J14" s="18">
        <f>Sheet4!K16</f>
        <v>48.562500000000007</v>
      </c>
      <c r="K14" s="18">
        <f>Sheet4!L16</f>
        <v>0</v>
      </c>
      <c r="L14" s="18">
        <f>Sheet4!M16</f>
        <v>151.59375</v>
      </c>
      <c r="M14" s="18">
        <f>Sheet4!N16</f>
        <v>0</v>
      </c>
      <c r="N14" s="18">
        <f>Sheet4!O16</f>
        <v>3036.75</v>
      </c>
      <c r="O14" s="18">
        <f>Sheet4!P16</f>
        <v>0</v>
      </c>
      <c r="P14" s="18">
        <f>Sheet4!Q16</f>
        <v>0</v>
      </c>
      <c r="Q14" s="18">
        <f>Sheet4!R16</f>
        <v>0</v>
      </c>
      <c r="R14" s="18">
        <f>Sheet4!S16</f>
        <v>0</v>
      </c>
      <c r="S14" s="18">
        <f>Sheet4!T16</f>
        <v>0</v>
      </c>
      <c r="T14" s="18">
        <f>Sheet4!U16</f>
        <v>0</v>
      </c>
      <c r="U14" s="18">
        <f>Sheet4!V16</f>
        <v>0</v>
      </c>
      <c r="V14" s="18">
        <f>Sheet4!W16</f>
        <v>0</v>
      </c>
      <c r="W14" s="18">
        <f>Sheet4!X16</f>
        <v>0</v>
      </c>
      <c r="X14" s="18">
        <f>Sheet4!Y16</f>
        <v>0</v>
      </c>
      <c r="Y14" s="18">
        <f>Sheet4!Z16</f>
        <v>0</v>
      </c>
    </row>
    <row r="15" spans="1:28">
      <c r="A15" s="1">
        <f>Sheet4!A17</f>
        <v>47391</v>
      </c>
      <c r="B15" s="18">
        <f>Sheet4!B17</f>
        <v>12000</v>
      </c>
      <c r="C15" s="18">
        <f>Sheet4!C17</f>
        <v>11618.84375</v>
      </c>
      <c r="D15" s="18">
        <f>Sheet4!D17</f>
        <v>-381.15625</v>
      </c>
      <c r="E15" s="18">
        <f>Sheet4!F17</f>
        <v>90.562500000000014</v>
      </c>
      <c r="F15" s="18">
        <f>Sheet4!G17</f>
        <v>0</v>
      </c>
      <c r="G15" s="18">
        <f>Sheet4!H17</f>
        <v>137.81250000000003</v>
      </c>
      <c r="H15" s="18">
        <f>Sheet4!I17</f>
        <v>0</v>
      </c>
      <c r="I15" s="18">
        <f>Sheet4!J17</f>
        <v>62.34375</v>
      </c>
      <c r="J15" s="18">
        <f>Sheet4!K17</f>
        <v>0</v>
      </c>
      <c r="K15" s="18">
        <f>Sheet4!L17</f>
        <v>183.75000000000003</v>
      </c>
      <c r="L15" s="18">
        <f>Sheet4!M17</f>
        <v>0</v>
      </c>
      <c r="M15" s="18">
        <f>Sheet4!N17</f>
        <v>11144.375</v>
      </c>
      <c r="N15" s="18">
        <f>Sheet4!O17</f>
        <v>0</v>
      </c>
      <c r="O15" s="18">
        <f>Sheet4!P17</f>
        <v>0</v>
      </c>
      <c r="P15" s="18">
        <f>Sheet4!Q17</f>
        <v>0</v>
      </c>
      <c r="Q15" s="18">
        <f>Sheet4!R17</f>
        <v>0</v>
      </c>
      <c r="R15" s="18">
        <f>Sheet4!S17</f>
        <v>0</v>
      </c>
      <c r="S15" s="18">
        <f>Sheet4!T17</f>
        <v>0</v>
      </c>
      <c r="T15" s="18">
        <f>Sheet4!U17</f>
        <v>0</v>
      </c>
      <c r="U15" s="18">
        <f>Sheet4!V17</f>
        <v>0</v>
      </c>
      <c r="V15" s="18">
        <f>Sheet4!W17</f>
        <v>0</v>
      </c>
      <c r="W15" s="18">
        <f>Sheet4!X17</f>
        <v>0</v>
      </c>
      <c r="X15" s="18">
        <f>Sheet4!Y17</f>
        <v>0</v>
      </c>
      <c r="Y15" s="18">
        <f>Sheet4!Z17</f>
        <v>0</v>
      </c>
    </row>
    <row r="16" spans="1:28">
      <c r="A16" s="1">
        <f>Sheet4!A18</f>
        <v>47483</v>
      </c>
      <c r="B16" s="18">
        <f>Sheet4!B18</f>
        <v>9000</v>
      </c>
      <c r="C16" s="18">
        <f>Sheet4!C18</f>
        <v>9398.15625</v>
      </c>
      <c r="D16" s="18">
        <f>Sheet4!D18</f>
        <v>398.15625</v>
      </c>
      <c r="E16" s="18">
        <f>Sheet4!F18</f>
        <v>0</v>
      </c>
      <c r="F16" s="18">
        <f>Sheet4!G18</f>
        <v>40.500000000000007</v>
      </c>
      <c r="G16" s="18">
        <f>Sheet4!H18</f>
        <v>0</v>
      </c>
      <c r="H16" s="18">
        <f>Sheet4!I18</f>
        <v>157.5</v>
      </c>
      <c r="I16" s="18">
        <f>Sheet4!J18</f>
        <v>0</v>
      </c>
      <c r="J16" s="18">
        <f>Sheet4!K18</f>
        <v>48.562500000000007</v>
      </c>
      <c r="K16" s="18">
        <f>Sheet4!L18</f>
        <v>0</v>
      </c>
      <c r="L16" s="18">
        <f>Sheet4!M18</f>
        <v>9151.59375</v>
      </c>
      <c r="M16" s="18">
        <f>Sheet4!N18</f>
        <v>0</v>
      </c>
      <c r="N16" s="18">
        <f>Sheet4!O18</f>
        <v>0</v>
      </c>
      <c r="O16" s="18">
        <f>Sheet4!P18</f>
        <v>0</v>
      </c>
      <c r="P16" s="18">
        <f>Sheet4!Q18</f>
        <v>0</v>
      </c>
      <c r="Q16" s="18">
        <f>Sheet4!R18</f>
        <v>0</v>
      </c>
      <c r="R16" s="18">
        <f>Sheet4!S18</f>
        <v>0</v>
      </c>
      <c r="S16" s="18">
        <f>Sheet4!T18</f>
        <v>0</v>
      </c>
      <c r="T16" s="18">
        <f>Sheet4!U18</f>
        <v>0</v>
      </c>
      <c r="U16" s="18">
        <f>Sheet4!V18</f>
        <v>0</v>
      </c>
      <c r="V16" s="18">
        <f>Sheet4!W18</f>
        <v>0</v>
      </c>
      <c r="W16" s="18">
        <f>Sheet4!X18</f>
        <v>0</v>
      </c>
      <c r="X16" s="18">
        <f>Sheet4!Y18</f>
        <v>0</v>
      </c>
      <c r="Y16" s="18">
        <f>Sheet4!Z18</f>
        <v>0</v>
      </c>
    </row>
    <row r="17" spans="1:25">
      <c r="A17" s="1">
        <f>Sheet4!A19</f>
        <v>47573</v>
      </c>
      <c r="B17" s="18">
        <f>Sheet4!B19</f>
        <v>12000</v>
      </c>
      <c r="C17" s="18">
        <f>Sheet4!C19</f>
        <v>12474.46875</v>
      </c>
      <c r="D17" s="18">
        <f>Sheet4!D19</f>
        <v>474.46875</v>
      </c>
      <c r="E17" s="18">
        <f>Sheet4!F19</f>
        <v>90.562500000000014</v>
      </c>
      <c r="F17" s="18">
        <f>Sheet4!G19</f>
        <v>0</v>
      </c>
      <c r="G17" s="18">
        <f>Sheet4!H19</f>
        <v>137.81250000000003</v>
      </c>
      <c r="H17" s="18">
        <f>Sheet4!I19</f>
        <v>0</v>
      </c>
      <c r="I17" s="18">
        <f>Sheet4!J19</f>
        <v>62.34375</v>
      </c>
      <c r="J17" s="18">
        <f>Sheet4!K19</f>
        <v>0</v>
      </c>
      <c r="K17" s="18">
        <f>Sheet4!L19</f>
        <v>12183.75</v>
      </c>
      <c r="L17" s="18">
        <f>Sheet4!M19</f>
        <v>0</v>
      </c>
      <c r="M17" s="18">
        <f>Sheet4!N19</f>
        <v>0</v>
      </c>
      <c r="N17" s="18">
        <f>Sheet4!O19</f>
        <v>0</v>
      </c>
      <c r="O17" s="18">
        <f>Sheet4!P19</f>
        <v>0</v>
      </c>
      <c r="P17" s="18">
        <f>Sheet4!Q19</f>
        <v>0</v>
      </c>
      <c r="Q17" s="18">
        <f>Sheet4!R19</f>
        <v>0</v>
      </c>
      <c r="R17" s="18">
        <f>Sheet4!S19</f>
        <v>0</v>
      </c>
      <c r="S17" s="18">
        <f>Sheet4!T19</f>
        <v>0</v>
      </c>
      <c r="T17" s="18">
        <f>Sheet4!U19</f>
        <v>0</v>
      </c>
      <c r="U17" s="18">
        <f>Sheet4!V19</f>
        <v>0</v>
      </c>
      <c r="V17" s="18">
        <f>Sheet4!W19</f>
        <v>0</v>
      </c>
      <c r="W17" s="18">
        <f>Sheet4!X19</f>
        <v>0</v>
      </c>
      <c r="X17" s="18">
        <f>Sheet4!Y19</f>
        <v>0</v>
      </c>
      <c r="Y17" s="18">
        <f>Sheet4!Z19</f>
        <v>0</v>
      </c>
    </row>
    <row r="18" spans="1:25">
      <c r="A18" s="1">
        <f>Sheet4!A20</f>
        <v>47664</v>
      </c>
      <c r="B18" s="18">
        <f>Sheet4!B20</f>
        <v>3000</v>
      </c>
      <c r="C18" s="18">
        <f>Sheet4!C20</f>
        <v>3246.5625</v>
      </c>
      <c r="D18" s="18">
        <f>Sheet4!D20</f>
        <v>246.5625</v>
      </c>
      <c r="E18" s="18">
        <f>Sheet4!F20</f>
        <v>0</v>
      </c>
      <c r="F18" s="18">
        <f>Sheet4!G20</f>
        <v>40.500000000000007</v>
      </c>
      <c r="G18" s="18">
        <f>Sheet4!H20</f>
        <v>0</v>
      </c>
      <c r="H18" s="18">
        <f>Sheet4!I20</f>
        <v>157.5</v>
      </c>
      <c r="I18" s="18">
        <f>Sheet4!J20</f>
        <v>0</v>
      </c>
      <c r="J18" s="18">
        <f>Sheet4!K20</f>
        <v>3048.5625</v>
      </c>
      <c r="K18" s="18">
        <f>Sheet4!L20</f>
        <v>0</v>
      </c>
      <c r="L18" s="18">
        <f>Sheet4!M20</f>
        <v>0</v>
      </c>
      <c r="M18" s="18">
        <f>Sheet4!N20</f>
        <v>0</v>
      </c>
      <c r="N18" s="18">
        <f>Sheet4!O20</f>
        <v>0</v>
      </c>
      <c r="O18" s="18">
        <f>Sheet4!P20</f>
        <v>0</v>
      </c>
      <c r="P18" s="18">
        <f>Sheet4!Q20</f>
        <v>0</v>
      </c>
      <c r="Q18" s="18">
        <f>Sheet4!R20</f>
        <v>0</v>
      </c>
      <c r="R18" s="18">
        <f>Sheet4!S20</f>
        <v>0</v>
      </c>
      <c r="S18" s="18">
        <f>Sheet4!T20</f>
        <v>0</v>
      </c>
      <c r="T18" s="18">
        <f>Sheet4!U20</f>
        <v>0</v>
      </c>
      <c r="U18" s="18">
        <f>Sheet4!V20</f>
        <v>0</v>
      </c>
      <c r="V18" s="18">
        <f>Sheet4!W20</f>
        <v>0</v>
      </c>
      <c r="W18" s="18">
        <f>Sheet4!X20</f>
        <v>0</v>
      </c>
      <c r="X18" s="18">
        <f>Sheet4!Y20</f>
        <v>0</v>
      </c>
      <c r="Y18" s="18">
        <f>Sheet4!Z20</f>
        <v>0</v>
      </c>
    </row>
    <row r="19" spans="1:25">
      <c r="A19" s="1">
        <f>Sheet4!A21</f>
        <v>47756</v>
      </c>
      <c r="B19" s="18">
        <f>Sheet4!B21</f>
        <v>15000</v>
      </c>
      <c r="C19" s="18">
        <f>Sheet4!C21</f>
        <v>15290.71875</v>
      </c>
      <c r="D19" s="18">
        <f>Sheet4!D21</f>
        <v>290.71875</v>
      </c>
      <c r="E19" s="18">
        <f>Sheet4!F21</f>
        <v>90.562500000000014</v>
      </c>
      <c r="F19" s="18">
        <f>Sheet4!G21</f>
        <v>0</v>
      </c>
      <c r="G19" s="18">
        <f>Sheet4!H21</f>
        <v>137.81250000000003</v>
      </c>
      <c r="H19" s="18">
        <f>Sheet4!I21</f>
        <v>0</v>
      </c>
      <c r="I19" s="18">
        <f>Sheet4!J21</f>
        <v>15062.34375</v>
      </c>
      <c r="J19" s="18">
        <f>Sheet4!K21</f>
        <v>0</v>
      </c>
      <c r="K19" s="18">
        <f>Sheet4!L21</f>
        <v>0</v>
      </c>
      <c r="L19" s="18">
        <f>Sheet4!M21</f>
        <v>0</v>
      </c>
      <c r="M19" s="18">
        <f>Sheet4!N21</f>
        <v>0</v>
      </c>
      <c r="N19" s="18">
        <f>Sheet4!O21</f>
        <v>0</v>
      </c>
      <c r="O19" s="18">
        <f>Sheet4!P21</f>
        <v>0</v>
      </c>
      <c r="P19" s="18">
        <f>Sheet4!Q21</f>
        <v>0</v>
      </c>
      <c r="Q19" s="18">
        <f>Sheet4!R21</f>
        <v>0</v>
      </c>
      <c r="R19" s="18">
        <f>Sheet4!S21</f>
        <v>0</v>
      </c>
      <c r="S19" s="18">
        <f>Sheet4!T21</f>
        <v>0</v>
      </c>
      <c r="T19" s="18">
        <f>Sheet4!U21</f>
        <v>0</v>
      </c>
      <c r="U19" s="18">
        <f>Sheet4!V21</f>
        <v>0</v>
      </c>
      <c r="V19" s="18">
        <f>Sheet4!W21</f>
        <v>0</v>
      </c>
      <c r="W19" s="18">
        <f>Sheet4!X21</f>
        <v>0</v>
      </c>
      <c r="X19" s="18">
        <f>Sheet4!Y21</f>
        <v>0</v>
      </c>
      <c r="Y19" s="18">
        <f>Sheet4!Z21</f>
        <v>0</v>
      </c>
    </row>
    <row r="20" spans="1:25">
      <c r="A20" s="1">
        <f>Sheet4!A22</f>
        <v>47848</v>
      </c>
      <c r="B20" s="18">
        <f>Sheet4!B22</f>
        <v>9000</v>
      </c>
      <c r="C20" s="18">
        <f>Sheet4!C22</f>
        <v>9198</v>
      </c>
      <c r="D20" s="18">
        <f>Sheet4!D22</f>
        <v>198</v>
      </c>
      <c r="E20" s="18">
        <f>Sheet4!F22</f>
        <v>0</v>
      </c>
      <c r="F20" s="18">
        <f>Sheet4!G22</f>
        <v>40.500000000000007</v>
      </c>
      <c r="G20" s="18">
        <f>Sheet4!H22</f>
        <v>0</v>
      </c>
      <c r="H20" s="18">
        <f>Sheet4!I22</f>
        <v>9157.5</v>
      </c>
      <c r="I20" s="18">
        <f>Sheet4!J22</f>
        <v>0</v>
      </c>
      <c r="J20" s="18">
        <f>Sheet4!K22</f>
        <v>0</v>
      </c>
      <c r="K20" s="18">
        <f>Sheet4!L22</f>
        <v>0</v>
      </c>
      <c r="L20" s="18">
        <f>Sheet4!M22</f>
        <v>0</v>
      </c>
      <c r="M20" s="18">
        <f>Sheet4!N22</f>
        <v>0</v>
      </c>
      <c r="N20" s="18">
        <f>Sheet4!O22</f>
        <v>0</v>
      </c>
      <c r="O20" s="18">
        <f>Sheet4!P22</f>
        <v>0</v>
      </c>
      <c r="P20" s="18">
        <f>Sheet4!Q22</f>
        <v>0</v>
      </c>
      <c r="Q20" s="18">
        <f>Sheet4!R22</f>
        <v>0</v>
      </c>
      <c r="R20" s="18">
        <f>Sheet4!S22</f>
        <v>0</v>
      </c>
      <c r="S20" s="18">
        <f>Sheet4!T22</f>
        <v>0</v>
      </c>
      <c r="T20" s="18">
        <f>Sheet4!U22</f>
        <v>0</v>
      </c>
      <c r="U20" s="18">
        <f>Sheet4!V22</f>
        <v>0</v>
      </c>
      <c r="V20" s="18">
        <f>Sheet4!W22</f>
        <v>0</v>
      </c>
      <c r="W20" s="18">
        <f>Sheet4!X22</f>
        <v>0</v>
      </c>
      <c r="X20" s="18">
        <f>Sheet4!Y22</f>
        <v>0</v>
      </c>
      <c r="Y20" s="18">
        <f>Sheet4!Z22</f>
        <v>0</v>
      </c>
    </row>
    <row r="21" spans="1:25">
      <c r="A21" s="1">
        <f>Sheet4!A23</f>
        <v>47938</v>
      </c>
      <c r="B21" s="18">
        <f>Sheet4!B23</f>
        <v>9000</v>
      </c>
      <c r="C21" s="18">
        <f>Sheet4!C23</f>
        <v>9228.375</v>
      </c>
      <c r="D21" s="18">
        <f>Sheet4!D23</f>
        <v>228.375</v>
      </c>
      <c r="E21" s="18">
        <f>Sheet4!F23</f>
        <v>90.562500000000014</v>
      </c>
      <c r="F21" s="18">
        <f>Sheet4!G23</f>
        <v>0</v>
      </c>
      <c r="G21" s="18">
        <f>Sheet4!H23</f>
        <v>9137.8125</v>
      </c>
      <c r="H21" s="18">
        <f>Sheet4!I23</f>
        <v>0</v>
      </c>
      <c r="I21" s="18">
        <f>Sheet4!J23</f>
        <v>0</v>
      </c>
      <c r="J21" s="18">
        <f>Sheet4!K23</f>
        <v>0</v>
      </c>
      <c r="K21" s="18">
        <f>Sheet4!L23</f>
        <v>0</v>
      </c>
      <c r="L21" s="18">
        <f>Sheet4!M23</f>
        <v>0</v>
      </c>
      <c r="M21" s="18">
        <f>Sheet4!N23</f>
        <v>0</v>
      </c>
      <c r="N21" s="18">
        <f>Sheet4!O23</f>
        <v>0</v>
      </c>
      <c r="O21" s="18">
        <f>Sheet4!P23</f>
        <v>0</v>
      </c>
      <c r="P21" s="18">
        <f>Sheet4!Q23</f>
        <v>0</v>
      </c>
      <c r="Q21" s="18">
        <f>Sheet4!R23</f>
        <v>0</v>
      </c>
      <c r="R21" s="18">
        <f>Sheet4!S23</f>
        <v>0</v>
      </c>
      <c r="S21" s="18">
        <f>Sheet4!T23</f>
        <v>0</v>
      </c>
      <c r="T21" s="18">
        <f>Sheet4!U23</f>
        <v>0</v>
      </c>
      <c r="U21" s="18">
        <f>Sheet4!V23</f>
        <v>0</v>
      </c>
      <c r="V21" s="18">
        <f>Sheet4!W23</f>
        <v>0</v>
      </c>
      <c r="W21" s="18">
        <f>Sheet4!X23</f>
        <v>0</v>
      </c>
      <c r="X21" s="18">
        <f>Sheet4!Y23</f>
        <v>0</v>
      </c>
      <c r="Y21" s="18">
        <f>Sheet4!Z23</f>
        <v>0</v>
      </c>
    </row>
    <row r="22" spans="1:25">
      <c r="A22" s="1">
        <f>Sheet4!A24</f>
        <v>48029</v>
      </c>
      <c r="B22" s="18">
        <f>Sheet4!B24</f>
        <v>9000</v>
      </c>
      <c r="C22" s="18">
        <f>Sheet4!C24</f>
        <v>9035.4375</v>
      </c>
      <c r="D22" s="18">
        <f>Sheet4!D24</f>
        <v>35.4375</v>
      </c>
      <c r="E22" s="18">
        <f>Sheet4!F24</f>
        <v>0</v>
      </c>
      <c r="F22" s="18">
        <f>Sheet4!G24</f>
        <v>9035.4375</v>
      </c>
      <c r="G22" s="18">
        <f>Sheet4!H24</f>
        <v>0</v>
      </c>
      <c r="H22" s="18">
        <f>Sheet4!I24</f>
        <v>0</v>
      </c>
      <c r="I22" s="18">
        <f>Sheet4!J24</f>
        <v>0</v>
      </c>
      <c r="J22" s="18">
        <f>Sheet4!K24</f>
        <v>0</v>
      </c>
      <c r="K22" s="18">
        <f>Sheet4!L24</f>
        <v>0</v>
      </c>
      <c r="L22" s="18">
        <f>Sheet4!M24</f>
        <v>0</v>
      </c>
      <c r="M22" s="18">
        <f>Sheet4!N24</f>
        <v>0</v>
      </c>
      <c r="N22" s="18">
        <f>Sheet4!O24</f>
        <v>0</v>
      </c>
      <c r="O22" s="18">
        <f>Sheet4!P24</f>
        <v>0</v>
      </c>
      <c r="P22" s="18">
        <f>Sheet4!Q24</f>
        <v>0</v>
      </c>
      <c r="Q22" s="18">
        <f>Sheet4!R24</f>
        <v>0</v>
      </c>
      <c r="R22" s="18">
        <f>Sheet4!S24</f>
        <v>0</v>
      </c>
      <c r="S22" s="18">
        <f>Sheet4!T24</f>
        <v>0</v>
      </c>
      <c r="T22" s="18">
        <f>Sheet4!U24</f>
        <v>0</v>
      </c>
      <c r="U22" s="18">
        <f>Sheet4!V24</f>
        <v>0</v>
      </c>
      <c r="V22" s="18">
        <f>Sheet4!W24</f>
        <v>0</v>
      </c>
      <c r="W22" s="18">
        <f>Sheet4!X24</f>
        <v>0</v>
      </c>
      <c r="X22" s="18">
        <f>Sheet4!Y24</f>
        <v>0</v>
      </c>
      <c r="Y22" s="18">
        <f>Sheet4!Z24</f>
        <v>0</v>
      </c>
    </row>
    <row r="23" spans="1:25">
      <c r="A23" s="1">
        <f>Sheet4!A25</f>
        <v>48121</v>
      </c>
      <c r="B23" s="18">
        <f>Sheet4!B25</f>
        <v>6000</v>
      </c>
      <c r="C23" s="18">
        <f>Sheet4!C25</f>
        <v>6090.5625</v>
      </c>
      <c r="D23" s="18">
        <f>Sheet4!D25</f>
        <v>90.5625</v>
      </c>
      <c r="E23" s="18">
        <f>Sheet4!F25</f>
        <v>6090.5625</v>
      </c>
      <c r="F23" s="18">
        <f>Sheet4!G25</f>
        <v>0</v>
      </c>
      <c r="G23" s="18">
        <f>Sheet4!H25</f>
        <v>0</v>
      </c>
      <c r="H23" s="18">
        <f>Sheet4!I25</f>
        <v>0</v>
      </c>
      <c r="I23" s="18">
        <f>Sheet4!J25</f>
        <v>0</v>
      </c>
      <c r="J23" s="18">
        <f>Sheet4!K25</f>
        <v>0</v>
      </c>
      <c r="K23" s="18">
        <f>Sheet4!L25</f>
        <v>0</v>
      </c>
      <c r="L23" s="18">
        <f>Sheet4!M25</f>
        <v>0</v>
      </c>
      <c r="M23" s="18">
        <f>Sheet4!N25</f>
        <v>0</v>
      </c>
      <c r="N23" s="18">
        <f>Sheet4!O25</f>
        <v>0</v>
      </c>
      <c r="O23" s="18">
        <f>Sheet4!P25</f>
        <v>0</v>
      </c>
      <c r="P23" s="18">
        <f>Sheet4!Q25</f>
        <v>0</v>
      </c>
      <c r="Q23" s="18">
        <f>Sheet4!R25</f>
        <v>0</v>
      </c>
      <c r="R23" s="18">
        <f>Sheet4!S25</f>
        <v>0</v>
      </c>
      <c r="S23" s="18">
        <f>Sheet4!T25</f>
        <v>0</v>
      </c>
      <c r="T23" s="18">
        <f>Sheet4!U25</f>
        <v>0</v>
      </c>
      <c r="U23" s="18">
        <f>Sheet4!V25</f>
        <v>0</v>
      </c>
      <c r="V23" s="18">
        <f>Sheet4!W25</f>
        <v>0</v>
      </c>
      <c r="W23" s="18">
        <f>Sheet4!X25</f>
        <v>0</v>
      </c>
      <c r="X23" s="18">
        <f>Sheet4!Y25</f>
        <v>0</v>
      </c>
      <c r="Y23" s="18">
        <f>Sheet4!Z25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7A8C-A223-6243-98D1-6E977ED478E0}">
  <dimension ref="A1:E20"/>
  <sheetViews>
    <sheetView zoomScale="160" zoomScaleNormal="160" workbookViewId="0">
      <selection activeCell="E2" sqref="E2"/>
    </sheetView>
  </sheetViews>
  <sheetFormatPr baseColWidth="10" defaultRowHeight="14"/>
  <cols>
    <col min="2" max="2" width="11.6640625" bestFit="1" customWidth="1"/>
  </cols>
  <sheetData>
    <row r="1" spans="1:5">
      <c r="A1" t="s">
        <v>5</v>
      </c>
      <c r="D1" t="s">
        <v>2</v>
      </c>
      <c r="E1" s="4" t="e">
        <f>#REF!</f>
        <v>#REF!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6">
        <v>-92.271000000000001</v>
      </c>
      <c r="C3" s="2">
        <f>B3</f>
        <v>-92.271000000000001</v>
      </c>
      <c r="D3" s="5" t="e">
        <f>B3*$E$1/100</f>
        <v>#REF!</v>
      </c>
      <c r="E3" s="5" t="e">
        <f>C3*$E$1/100</f>
        <v>#REF!</v>
      </c>
    </row>
    <row r="4" spans="1:5">
      <c r="A4" s="1">
        <v>46266</v>
      </c>
      <c r="B4" s="6">
        <v>0.82499999999999996</v>
      </c>
      <c r="C4" s="2">
        <f>B4*(0.875)</f>
        <v>0.72187499999999993</v>
      </c>
      <c r="D4" s="5" t="e">
        <f t="shared" ref="D4:E15" si="0">B4*$E$1/100</f>
        <v>#REF!</v>
      </c>
      <c r="E4" s="5" t="e">
        <f t="shared" ref="E4:E14" si="1">C4*$E$1/100</f>
        <v>#REF!</v>
      </c>
    </row>
    <row r="5" spans="1:5">
      <c r="A5" s="1">
        <v>46447</v>
      </c>
      <c r="B5" s="6">
        <v>0.82499999999999996</v>
      </c>
      <c r="C5">
        <f t="shared" ref="C5:C14" si="2">B5*(0.875)</f>
        <v>0.72187499999999993</v>
      </c>
      <c r="D5" s="5" t="e">
        <f t="shared" si="0"/>
        <v>#REF!</v>
      </c>
      <c r="E5" s="5" t="e">
        <f t="shared" si="1"/>
        <v>#REF!</v>
      </c>
    </row>
    <row r="6" spans="1:5">
      <c r="A6" s="1">
        <v>46631</v>
      </c>
      <c r="B6" s="3">
        <f>B5</f>
        <v>0.82499999999999996</v>
      </c>
      <c r="C6">
        <f t="shared" si="2"/>
        <v>0.72187499999999993</v>
      </c>
      <c r="D6" s="5" t="e">
        <f t="shared" si="0"/>
        <v>#REF!</v>
      </c>
      <c r="E6" s="5" t="e">
        <f t="shared" si="1"/>
        <v>#REF!</v>
      </c>
    </row>
    <row r="7" spans="1:5">
      <c r="A7" s="1">
        <v>46813</v>
      </c>
      <c r="B7" s="3">
        <f t="shared" ref="B7:B14" si="3">B6</f>
        <v>0.82499999999999996</v>
      </c>
      <c r="C7">
        <f t="shared" si="2"/>
        <v>0.72187499999999993</v>
      </c>
      <c r="D7" s="5" t="e">
        <f t="shared" si="0"/>
        <v>#REF!</v>
      </c>
      <c r="E7" s="5" t="e">
        <f t="shared" si="1"/>
        <v>#REF!</v>
      </c>
    </row>
    <row r="8" spans="1:5">
      <c r="A8" s="1">
        <v>46997</v>
      </c>
      <c r="B8" s="3">
        <f t="shared" si="3"/>
        <v>0.82499999999999996</v>
      </c>
      <c r="C8">
        <f t="shared" si="2"/>
        <v>0.72187499999999993</v>
      </c>
      <c r="D8" s="5" t="e">
        <f t="shared" si="0"/>
        <v>#REF!</v>
      </c>
      <c r="E8" s="5" t="e">
        <f t="shared" si="1"/>
        <v>#REF!</v>
      </c>
    </row>
    <row r="9" spans="1:5">
      <c r="A9" s="1">
        <v>47178</v>
      </c>
      <c r="B9" s="3">
        <f t="shared" si="3"/>
        <v>0.82499999999999996</v>
      </c>
      <c r="C9">
        <f t="shared" si="2"/>
        <v>0.72187499999999993</v>
      </c>
      <c r="D9" s="5" t="e">
        <f t="shared" si="0"/>
        <v>#REF!</v>
      </c>
      <c r="E9" s="5" t="e">
        <f t="shared" si="1"/>
        <v>#REF!</v>
      </c>
    </row>
    <row r="10" spans="1:5">
      <c r="A10" s="1">
        <v>47362</v>
      </c>
      <c r="B10" s="3">
        <f t="shared" si="3"/>
        <v>0.82499999999999996</v>
      </c>
      <c r="C10">
        <f t="shared" si="2"/>
        <v>0.72187499999999993</v>
      </c>
      <c r="D10" s="5" t="e">
        <f t="shared" si="0"/>
        <v>#REF!</v>
      </c>
      <c r="E10" s="5" t="e">
        <f t="shared" si="1"/>
        <v>#REF!</v>
      </c>
    </row>
    <row r="11" spans="1:5">
      <c r="A11" s="1">
        <v>47543</v>
      </c>
      <c r="B11" s="3">
        <f t="shared" si="3"/>
        <v>0.82499999999999996</v>
      </c>
      <c r="C11">
        <f t="shared" si="2"/>
        <v>0.72187499999999993</v>
      </c>
      <c r="D11" s="5" t="e">
        <f t="shared" si="0"/>
        <v>#REF!</v>
      </c>
      <c r="E11" s="5" t="e">
        <f t="shared" si="1"/>
        <v>#REF!</v>
      </c>
    </row>
    <row r="12" spans="1:5">
      <c r="A12" s="1">
        <v>47727</v>
      </c>
      <c r="B12" s="3">
        <f t="shared" si="3"/>
        <v>0.82499999999999996</v>
      </c>
      <c r="C12">
        <f t="shared" si="2"/>
        <v>0.72187499999999993</v>
      </c>
      <c r="D12" s="5" t="e">
        <f t="shared" si="0"/>
        <v>#REF!</v>
      </c>
      <c r="E12" s="5" t="e">
        <f t="shared" si="1"/>
        <v>#REF!</v>
      </c>
    </row>
    <row r="13" spans="1:5">
      <c r="A13" s="1">
        <v>47908</v>
      </c>
      <c r="B13" s="3">
        <f t="shared" si="3"/>
        <v>0.82499999999999996</v>
      </c>
      <c r="C13">
        <f t="shared" si="2"/>
        <v>0.72187499999999993</v>
      </c>
      <c r="D13" s="5" t="e">
        <f t="shared" si="0"/>
        <v>#REF!</v>
      </c>
      <c r="E13" s="5" t="e">
        <f t="shared" si="1"/>
        <v>#REF!</v>
      </c>
    </row>
    <row r="14" spans="1:5">
      <c r="A14" s="1">
        <v>48092</v>
      </c>
      <c r="B14" s="3">
        <f t="shared" si="3"/>
        <v>0.82499999999999996</v>
      </c>
      <c r="C14">
        <f t="shared" si="2"/>
        <v>0.72187499999999993</v>
      </c>
      <c r="D14" s="5" t="e">
        <f t="shared" si="0"/>
        <v>#REF!</v>
      </c>
      <c r="E14" s="5" t="e">
        <f t="shared" si="1"/>
        <v>#REF!</v>
      </c>
    </row>
    <row r="15" spans="1:5">
      <c r="A15" s="1">
        <v>48274</v>
      </c>
      <c r="B15" s="3">
        <f>B14+100-(100+B3)*0.125</f>
        <v>99.858874999999998</v>
      </c>
      <c r="C15">
        <f>(B15-100)*(0.875)+100</f>
        <v>99.876515624999996</v>
      </c>
      <c r="D15" s="5" t="e">
        <f t="shared" si="0"/>
        <v>#REF!</v>
      </c>
      <c r="E15" s="5" t="e">
        <f t="shared" si="0"/>
        <v>#REF!</v>
      </c>
    </row>
    <row r="16" spans="1:5">
      <c r="A16" s="1"/>
      <c r="B16" s="3"/>
      <c r="D16" s="5"/>
      <c r="E16" s="5"/>
    </row>
    <row r="17" spans="1:5">
      <c r="A17" s="1"/>
      <c r="B17" s="3"/>
      <c r="D17" s="5"/>
      <c r="E17" s="5"/>
    </row>
    <row r="18" spans="1:5">
      <c r="A18" s="1"/>
      <c r="B18" s="3"/>
      <c r="D18" s="5"/>
      <c r="E18" s="7" t="e">
        <f>XIRR(E3:E15,A3:A15)</f>
        <v>#REF!</v>
      </c>
    </row>
    <row r="20" spans="1:5">
      <c r="E2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188C-F477-1145-AF84-67DDC02E2935}">
  <dimension ref="A1:E16"/>
  <sheetViews>
    <sheetView zoomScale="160" zoomScaleNormal="160" workbookViewId="0">
      <selection activeCell="E1" sqref="E1"/>
    </sheetView>
  </sheetViews>
  <sheetFormatPr baseColWidth="10" defaultRowHeight="14"/>
  <cols>
    <col min="2" max="2" width="11.6640625" bestFit="1" customWidth="1"/>
    <col min="3" max="3" width="13.5" customWidth="1"/>
  </cols>
  <sheetData>
    <row r="1" spans="1:5">
      <c r="A1" t="s">
        <v>7</v>
      </c>
      <c r="D1" t="s">
        <v>2</v>
      </c>
      <c r="E1" s="4" t="e">
        <f>#REF!</f>
        <v>#REF!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3">
        <v>-100.1439</v>
      </c>
      <c r="C3" s="3">
        <f>B3</f>
        <v>-100.1439</v>
      </c>
      <c r="D3" s="5" t="e">
        <f>B3*$E$1/100</f>
        <v>#REF!</v>
      </c>
      <c r="E3" s="5" t="e">
        <f>C3*$E$1/100</f>
        <v>#REF!</v>
      </c>
    </row>
    <row r="4" spans="1:5">
      <c r="A4" s="1">
        <v>46174</v>
      </c>
      <c r="B4" s="3">
        <v>0.242308</v>
      </c>
      <c r="C4">
        <f>B4*(0.875)</f>
        <v>0.2120195</v>
      </c>
      <c r="D4" s="5" t="e">
        <f t="shared" ref="D4:D14" si="0">B4*$E$1/100</f>
        <v>#REF!</v>
      </c>
      <c r="E4" s="5" t="e">
        <f t="shared" ref="E4:E14" si="1">C4*$E$1/100</f>
        <v>#REF!</v>
      </c>
    </row>
    <row r="5" spans="1:5">
      <c r="A5" s="1">
        <v>46357</v>
      </c>
      <c r="B5" s="3">
        <f>3.15/2</f>
        <v>1.575</v>
      </c>
      <c r="C5">
        <f t="shared" ref="C5:C13" si="2">B5*(0.875)</f>
        <v>1.378125</v>
      </c>
      <c r="D5" s="5" t="e">
        <f t="shared" si="0"/>
        <v>#REF!</v>
      </c>
      <c r="E5" s="5" t="e">
        <f t="shared" si="1"/>
        <v>#REF!</v>
      </c>
    </row>
    <row r="6" spans="1:5">
      <c r="A6" s="1">
        <v>46539</v>
      </c>
      <c r="B6" s="3">
        <f>B5</f>
        <v>1.575</v>
      </c>
      <c r="C6">
        <f t="shared" si="2"/>
        <v>1.378125</v>
      </c>
      <c r="D6" s="5" t="e">
        <f t="shared" si="0"/>
        <v>#REF!</v>
      </c>
      <c r="E6" s="5" t="e">
        <f t="shared" si="1"/>
        <v>#REF!</v>
      </c>
    </row>
    <row r="7" spans="1:5">
      <c r="A7" s="1">
        <v>46722</v>
      </c>
      <c r="B7" s="3">
        <f t="shared" ref="B7:B13" si="3">B6</f>
        <v>1.575</v>
      </c>
      <c r="C7">
        <f t="shared" si="2"/>
        <v>1.378125</v>
      </c>
      <c r="D7" s="5" t="e">
        <f t="shared" si="0"/>
        <v>#REF!</v>
      </c>
      <c r="E7" s="5" t="e">
        <f t="shared" si="1"/>
        <v>#REF!</v>
      </c>
    </row>
    <row r="8" spans="1:5">
      <c r="A8" s="1">
        <v>46905</v>
      </c>
      <c r="B8" s="3">
        <f t="shared" si="3"/>
        <v>1.575</v>
      </c>
      <c r="C8">
        <f t="shared" si="2"/>
        <v>1.378125</v>
      </c>
      <c r="D8" s="5" t="e">
        <f t="shared" si="0"/>
        <v>#REF!</v>
      </c>
      <c r="E8" s="5" t="e">
        <f t="shared" si="1"/>
        <v>#REF!</v>
      </c>
    </row>
    <row r="9" spans="1:5">
      <c r="A9" s="1">
        <v>47088</v>
      </c>
      <c r="B9" s="3">
        <f t="shared" si="3"/>
        <v>1.575</v>
      </c>
      <c r="C9">
        <f t="shared" si="2"/>
        <v>1.378125</v>
      </c>
      <c r="D9" s="5" t="e">
        <f t="shared" si="0"/>
        <v>#REF!</v>
      </c>
      <c r="E9" s="5" t="e">
        <f t="shared" si="1"/>
        <v>#REF!</v>
      </c>
    </row>
    <row r="10" spans="1:5">
      <c r="A10" s="1">
        <v>47270</v>
      </c>
      <c r="B10" s="3">
        <f t="shared" si="3"/>
        <v>1.575</v>
      </c>
      <c r="C10">
        <f t="shared" si="2"/>
        <v>1.378125</v>
      </c>
      <c r="D10" s="5" t="e">
        <f t="shared" si="0"/>
        <v>#REF!</v>
      </c>
      <c r="E10" s="5" t="e">
        <f t="shared" si="1"/>
        <v>#REF!</v>
      </c>
    </row>
    <row r="11" spans="1:5">
      <c r="A11" s="1">
        <v>47453</v>
      </c>
      <c r="B11" s="3">
        <f t="shared" si="3"/>
        <v>1.575</v>
      </c>
      <c r="C11">
        <f t="shared" si="2"/>
        <v>1.378125</v>
      </c>
      <c r="D11" s="5" t="e">
        <f t="shared" si="0"/>
        <v>#REF!</v>
      </c>
      <c r="E11" s="5" t="e">
        <f t="shared" si="1"/>
        <v>#REF!</v>
      </c>
    </row>
    <row r="12" spans="1:5">
      <c r="A12" s="1">
        <v>47635</v>
      </c>
      <c r="B12" s="3">
        <f t="shared" si="3"/>
        <v>1.575</v>
      </c>
      <c r="C12">
        <f t="shared" si="2"/>
        <v>1.378125</v>
      </c>
      <c r="D12" s="5" t="e">
        <f t="shared" si="0"/>
        <v>#REF!</v>
      </c>
      <c r="E12" s="5" t="e">
        <f t="shared" si="1"/>
        <v>#REF!</v>
      </c>
    </row>
    <row r="13" spans="1:5">
      <c r="A13" s="1">
        <v>47818</v>
      </c>
      <c r="B13" s="3">
        <f t="shared" si="3"/>
        <v>1.575</v>
      </c>
      <c r="C13">
        <f t="shared" si="2"/>
        <v>1.378125</v>
      </c>
      <c r="D13" s="5" t="e">
        <f t="shared" si="0"/>
        <v>#REF!</v>
      </c>
      <c r="E13" s="5" t="e">
        <f t="shared" si="1"/>
        <v>#REF!</v>
      </c>
    </row>
    <row r="14" spans="1:5">
      <c r="A14" s="1">
        <v>48000</v>
      </c>
      <c r="B14" s="3">
        <f>B13+100</f>
        <v>101.575</v>
      </c>
      <c r="C14">
        <f>(B14-100)*(0.875)+100-(100+B3)*0.125</f>
        <v>101.3961125</v>
      </c>
      <c r="D14" s="5" t="e">
        <f t="shared" si="0"/>
        <v>#REF!</v>
      </c>
      <c r="E14" s="5" t="e">
        <f t="shared" si="1"/>
        <v>#REF!</v>
      </c>
    </row>
    <row r="16" spans="1:5">
      <c r="E16" s="7" t="e">
        <f>XIRR(E3:E14,A3:A14)</f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3179-CBC2-3445-87AC-B3A1D74855F4}">
  <dimension ref="A1:E20"/>
  <sheetViews>
    <sheetView zoomScale="160" zoomScaleNormal="160" workbookViewId="0">
      <selection activeCell="E1" sqref="E1"/>
    </sheetView>
  </sheetViews>
  <sheetFormatPr baseColWidth="10" defaultRowHeight="14"/>
  <cols>
    <col min="2" max="2" width="11.6640625" bestFit="1" customWidth="1"/>
  </cols>
  <sheetData>
    <row r="1" spans="1:5">
      <c r="A1" t="s">
        <v>8</v>
      </c>
      <c r="D1" t="s">
        <v>2</v>
      </c>
      <c r="E1" s="4" t="e">
        <f>#REF!</f>
        <v>#REF!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6">
        <v>-90.600999999999999</v>
      </c>
      <c r="C3" s="2">
        <f>B3</f>
        <v>-90.600999999999999</v>
      </c>
      <c r="D3" s="5" t="e">
        <f>B3*$E$1/100</f>
        <v>#REF!</v>
      </c>
      <c r="E3" s="5" t="e">
        <f>C3*$E$1/100</f>
        <v>#REF!</v>
      </c>
    </row>
    <row r="4" spans="1:5">
      <c r="A4" s="1">
        <v>46296</v>
      </c>
      <c r="B4" s="6">
        <v>0.45</v>
      </c>
      <c r="C4" s="2">
        <f>B4*(0.875)</f>
        <v>0.39374999999999999</v>
      </c>
      <c r="D4" s="5" t="e">
        <f t="shared" ref="D4:D13" si="0">B4*$E$1/100</f>
        <v>#REF!</v>
      </c>
      <c r="E4" s="5" t="e">
        <f t="shared" ref="E4:E13" si="1">C4*$E$1/100</f>
        <v>#REF!</v>
      </c>
    </row>
    <row r="5" spans="1:5">
      <c r="A5" s="1">
        <v>46478</v>
      </c>
      <c r="B5" s="6">
        <v>0.45</v>
      </c>
      <c r="C5">
        <f t="shared" ref="C5:C12" si="2">B5*(0.875)</f>
        <v>0.39374999999999999</v>
      </c>
      <c r="D5" s="5" t="e">
        <f t="shared" si="0"/>
        <v>#REF!</v>
      </c>
      <c r="E5" s="5" t="e">
        <f t="shared" si="1"/>
        <v>#REF!</v>
      </c>
    </row>
    <row r="6" spans="1:5">
      <c r="A6" s="1">
        <v>46661</v>
      </c>
      <c r="B6" s="3">
        <f>B5</f>
        <v>0.45</v>
      </c>
      <c r="C6">
        <f t="shared" si="2"/>
        <v>0.39374999999999999</v>
      </c>
      <c r="D6" s="5" t="e">
        <f t="shared" si="0"/>
        <v>#REF!</v>
      </c>
      <c r="E6" s="5" t="e">
        <f t="shared" si="1"/>
        <v>#REF!</v>
      </c>
    </row>
    <row r="7" spans="1:5">
      <c r="A7" s="1">
        <v>46844</v>
      </c>
      <c r="B7" s="3">
        <f t="shared" ref="B7:B12" si="3">B6</f>
        <v>0.45</v>
      </c>
      <c r="C7">
        <f t="shared" si="2"/>
        <v>0.39374999999999999</v>
      </c>
      <c r="D7" s="5" t="e">
        <f t="shared" si="0"/>
        <v>#REF!</v>
      </c>
      <c r="E7" s="5" t="e">
        <f t="shared" si="1"/>
        <v>#REF!</v>
      </c>
    </row>
    <row r="8" spans="1:5">
      <c r="A8" s="1">
        <v>47027</v>
      </c>
      <c r="B8" s="3">
        <f t="shared" si="3"/>
        <v>0.45</v>
      </c>
      <c r="C8">
        <f t="shared" si="2"/>
        <v>0.39374999999999999</v>
      </c>
      <c r="D8" s="5" t="e">
        <f t="shared" si="0"/>
        <v>#REF!</v>
      </c>
      <c r="E8" s="5" t="e">
        <f t="shared" si="1"/>
        <v>#REF!</v>
      </c>
    </row>
    <row r="9" spans="1:5">
      <c r="A9" s="1">
        <v>47209</v>
      </c>
      <c r="B9" s="3">
        <f t="shared" si="3"/>
        <v>0.45</v>
      </c>
      <c r="C9">
        <f t="shared" si="2"/>
        <v>0.39374999999999999</v>
      </c>
      <c r="D9" s="5" t="e">
        <f t="shared" si="0"/>
        <v>#REF!</v>
      </c>
      <c r="E9" s="5" t="e">
        <f t="shared" si="1"/>
        <v>#REF!</v>
      </c>
    </row>
    <row r="10" spans="1:5">
      <c r="A10" s="1">
        <v>47392</v>
      </c>
      <c r="B10" s="3">
        <f t="shared" si="3"/>
        <v>0.45</v>
      </c>
      <c r="C10">
        <f t="shared" si="2"/>
        <v>0.39374999999999999</v>
      </c>
      <c r="D10" s="5" t="e">
        <f t="shared" si="0"/>
        <v>#REF!</v>
      </c>
      <c r="E10" s="5" t="e">
        <f t="shared" si="1"/>
        <v>#REF!</v>
      </c>
    </row>
    <row r="11" spans="1:5">
      <c r="A11" s="1">
        <v>47574</v>
      </c>
      <c r="B11" s="3">
        <f t="shared" si="3"/>
        <v>0.45</v>
      </c>
      <c r="C11">
        <f t="shared" si="2"/>
        <v>0.39374999999999999</v>
      </c>
      <c r="D11" s="5" t="e">
        <f t="shared" si="0"/>
        <v>#REF!</v>
      </c>
      <c r="E11" s="5" t="e">
        <f t="shared" si="1"/>
        <v>#REF!</v>
      </c>
    </row>
    <row r="12" spans="1:5">
      <c r="A12" s="1">
        <v>47757</v>
      </c>
      <c r="B12" s="3">
        <f t="shared" si="3"/>
        <v>0.45</v>
      </c>
      <c r="C12">
        <f t="shared" si="2"/>
        <v>0.39374999999999999</v>
      </c>
      <c r="D12" s="5" t="e">
        <f t="shared" si="0"/>
        <v>#REF!</v>
      </c>
      <c r="E12" s="5" t="e">
        <f t="shared" si="1"/>
        <v>#REF!</v>
      </c>
    </row>
    <row r="13" spans="1:5">
      <c r="A13" s="1">
        <v>47939</v>
      </c>
      <c r="B13" s="3">
        <f>B12+100</f>
        <v>100.45</v>
      </c>
      <c r="C13">
        <f>(B13-100)*(0.875)+100</f>
        <v>100.39375</v>
      </c>
      <c r="D13" s="5" t="e">
        <f t="shared" si="0"/>
        <v>#REF!</v>
      </c>
      <c r="E13" s="5" t="e">
        <f t="shared" si="1"/>
        <v>#REF!</v>
      </c>
    </row>
    <row r="14" spans="1:5">
      <c r="A14" s="1"/>
      <c r="B14" s="3"/>
      <c r="D14" s="5"/>
      <c r="E14" s="5"/>
    </row>
    <row r="15" spans="1:5">
      <c r="A15" s="1"/>
      <c r="B15" s="3"/>
      <c r="D15" s="5"/>
      <c r="E15" s="5"/>
    </row>
    <row r="16" spans="1:5">
      <c r="A16" s="1"/>
      <c r="B16" s="3"/>
      <c r="D16" s="5"/>
      <c r="E16" s="5"/>
    </row>
    <row r="17" spans="1:5">
      <c r="A17" s="1"/>
      <c r="B17" s="3"/>
      <c r="D17" s="5"/>
      <c r="E17" s="5"/>
    </row>
    <row r="18" spans="1:5">
      <c r="A18" s="1"/>
      <c r="B18" s="3"/>
      <c r="D18" s="5"/>
      <c r="E18" s="7" t="e">
        <f>XIRR(E3:E15,A3:A15)</f>
        <v>#REF!</v>
      </c>
    </row>
    <row r="20" spans="1:5">
      <c r="E2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F31E-E577-0748-82AA-6B27EF885DFB}">
  <dimension ref="A1:E20"/>
  <sheetViews>
    <sheetView zoomScale="160" zoomScaleNormal="160" workbookViewId="0">
      <selection activeCell="E6" sqref="E6"/>
    </sheetView>
  </sheetViews>
  <sheetFormatPr baseColWidth="10" defaultRowHeight="14"/>
  <cols>
    <col min="2" max="2" width="11.6640625" bestFit="1" customWidth="1"/>
  </cols>
  <sheetData>
    <row r="1" spans="1:5">
      <c r="A1" t="s">
        <v>9</v>
      </c>
      <c r="D1" t="s">
        <v>2</v>
      </c>
      <c r="E1" s="4" t="e">
        <f>#REF!</f>
        <v>#REF!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6">
        <v>-101.999</v>
      </c>
      <c r="C3" s="2">
        <f>B3</f>
        <v>-101.999</v>
      </c>
      <c r="D3" s="5" t="e">
        <f>B3*$E$1/100</f>
        <v>#REF!</v>
      </c>
      <c r="E3" s="5" t="e">
        <f>C3*$E$1/100</f>
        <v>#REF!</v>
      </c>
    </row>
    <row r="4" spans="1:5">
      <c r="A4" s="1">
        <v>46249</v>
      </c>
      <c r="B4" s="6">
        <v>1.75</v>
      </c>
      <c r="C4" s="2">
        <f>B4*(0.875)</f>
        <v>1.53125</v>
      </c>
      <c r="D4" s="5" t="e">
        <f t="shared" ref="D4:E13" si="0">B4*$E$1/100</f>
        <v>#REF!</v>
      </c>
      <c r="E4" s="5" t="e">
        <f t="shared" si="0"/>
        <v>#REF!</v>
      </c>
    </row>
    <row r="5" spans="1:5">
      <c r="A5" s="1">
        <v>46433</v>
      </c>
      <c r="B5" s="6">
        <v>1.75</v>
      </c>
      <c r="C5">
        <f t="shared" ref="C5:C12" si="1">B5*(0.875)</f>
        <v>1.53125</v>
      </c>
      <c r="D5" s="5" t="e">
        <f t="shared" si="0"/>
        <v>#REF!</v>
      </c>
      <c r="E5" s="5" t="e">
        <f t="shared" si="0"/>
        <v>#REF!</v>
      </c>
    </row>
    <row r="6" spans="1:5">
      <c r="A6" s="1">
        <v>46614</v>
      </c>
      <c r="B6" s="3">
        <f>B5</f>
        <v>1.75</v>
      </c>
      <c r="C6">
        <f t="shared" si="1"/>
        <v>1.53125</v>
      </c>
      <c r="D6" s="5" t="e">
        <f t="shared" si="0"/>
        <v>#REF!</v>
      </c>
      <c r="E6" s="5" t="e">
        <f t="shared" si="0"/>
        <v>#REF!</v>
      </c>
    </row>
    <row r="7" spans="1:5">
      <c r="A7" s="1">
        <v>46798</v>
      </c>
      <c r="B7" s="3">
        <f t="shared" ref="B7:B12" si="2">B6</f>
        <v>1.75</v>
      </c>
      <c r="C7">
        <f t="shared" si="1"/>
        <v>1.53125</v>
      </c>
      <c r="D7" s="5" t="e">
        <f t="shared" si="0"/>
        <v>#REF!</v>
      </c>
      <c r="E7" s="5" t="e">
        <f t="shared" si="0"/>
        <v>#REF!</v>
      </c>
    </row>
    <row r="8" spans="1:5">
      <c r="A8" s="1">
        <v>46980</v>
      </c>
      <c r="B8" s="3">
        <f t="shared" si="2"/>
        <v>1.75</v>
      </c>
      <c r="C8">
        <f t="shared" si="1"/>
        <v>1.53125</v>
      </c>
      <c r="D8" s="5" t="e">
        <f t="shared" si="0"/>
        <v>#REF!</v>
      </c>
      <c r="E8" s="5" t="e">
        <f t="shared" si="0"/>
        <v>#REF!</v>
      </c>
    </row>
    <row r="9" spans="1:5">
      <c r="A9" s="1">
        <v>47164</v>
      </c>
      <c r="B9" s="3">
        <f t="shared" si="2"/>
        <v>1.75</v>
      </c>
      <c r="C9">
        <f t="shared" si="1"/>
        <v>1.53125</v>
      </c>
      <c r="D9" s="5" t="e">
        <f t="shared" si="0"/>
        <v>#REF!</v>
      </c>
      <c r="E9" s="5" t="e">
        <f t="shared" si="0"/>
        <v>#REF!</v>
      </c>
    </row>
    <row r="10" spans="1:5">
      <c r="A10" s="1">
        <v>47345</v>
      </c>
      <c r="B10" s="3">
        <f t="shared" si="2"/>
        <v>1.75</v>
      </c>
      <c r="C10">
        <f t="shared" si="1"/>
        <v>1.53125</v>
      </c>
      <c r="D10" s="5" t="e">
        <f t="shared" si="0"/>
        <v>#REF!</v>
      </c>
      <c r="E10" s="5" t="e">
        <f t="shared" si="0"/>
        <v>#REF!</v>
      </c>
    </row>
    <row r="11" spans="1:5">
      <c r="A11" s="1">
        <v>47529</v>
      </c>
      <c r="B11" s="3">
        <f t="shared" si="2"/>
        <v>1.75</v>
      </c>
      <c r="C11">
        <f t="shared" si="1"/>
        <v>1.53125</v>
      </c>
      <c r="D11" s="5" t="e">
        <f t="shared" si="0"/>
        <v>#REF!</v>
      </c>
      <c r="E11" s="5" t="e">
        <f t="shared" si="0"/>
        <v>#REF!</v>
      </c>
    </row>
    <row r="12" spans="1:5">
      <c r="A12" s="1">
        <v>47710</v>
      </c>
      <c r="B12" s="3">
        <f t="shared" si="2"/>
        <v>1.75</v>
      </c>
      <c r="C12">
        <f t="shared" si="1"/>
        <v>1.53125</v>
      </c>
      <c r="D12" s="5" t="e">
        <f t="shared" si="0"/>
        <v>#REF!</v>
      </c>
      <c r="E12" s="5" t="e">
        <f t="shared" si="0"/>
        <v>#REF!</v>
      </c>
    </row>
    <row r="13" spans="1:5">
      <c r="A13" s="1">
        <v>47894</v>
      </c>
      <c r="B13" s="3">
        <f>B12+100</f>
        <v>101.75</v>
      </c>
      <c r="C13">
        <f>(B13-100)*(0.875)+100</f>
        <v>101.53125</v>
      </c>
      <c r="D13" s="5" t="e">
        <f t="shared" si="0"/>
        <v>#REF!</v>
      </c>
      <c r="E13" s="5" t="e">
        <f t="shared" si="0"/>
        <v>#REF!</v>
      </c>
    </row>
    <row r="14" spans="1:5">
      <c r="A14" s="1"/>
      <c r="B14" s="3"/>
      <c r="D14" s="5"/>
      <c r="E14" s="5"/>
    </row>
    <row r="15" spans="1:5">
      <c r="A15" s="1"/>
      <c r="B15" s="3"/>
      <c r="D15" s="5"/>
      <c r="E15" s="5"/>
    </row>
    <row r="16" spans="1:5">
      <c r="A16" s="1"/>
      <c r="B16" s="3"/>
      <c r="D16" s="5"/>
      <c r="E16" s="5"/>
    </row>
    <row r="17" spans="1:5">
      <c r="A17" s="1"/>
      <c r="B17" s="3"/>
      <c r="D17" s="5"/>
      <c r="E17" s="5"/>
    </row>
    <row r="18" spans="1:5">
      <c r="A18" s="1"/>
      <c r="B18" s="3"/>
      <c r="D18" s="5"/>
      <c r="E18" s="7" t="e">
        <f>XIRR(E3:E15,A3:A15)</f>
        <v>#REF!</v>
      </c>
    </row>
    <row r="20" spans="1:5">
      <c r="E2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6A44-57E7-A848-904C-0201C3BA09C3}">
  <dimension ref="A1:E20"/>
  <sheetViews>
    <sheetView zoomScale="160" zoomScaleNormal="160" workbookViewId="0">
      <selection activeCell="E20" sqref="E20"/>
    </sheetView>
  </sheetViews>
  <sheetFormatPr baseColWidth="10" defaultRowHeight="14"/>
  <sheetData>
    <row r="1" spans="1:5">
      <c r="A1" t="s">
        <v>4</v>
      </c>
      <c r="D1" t="s">
        <v>2</v>
      </c>
      <c r="E1" s="4">
        <v>10000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6">
        <v>-98.86</v>
      </c>
      <c r="C3" s="2">
        <f>B3</f>
        <v>-98.86</v>
      </c>
      <c r="D3" s="5">
        <f>B3*$E$1/100</f>
        <v>-9886</v>
      </c>
      <c r="E3" s="5">
        <f>C3*$E$1/100</f>
        <v>-9886</v>
      </c>
    </row>
    <row r="4" spans="1:5">
      <c r="A4" s="1">
        <v>46188</v>
      </c>
      <c r="B4" s="6">
        <v>0.55302200000000001</v>
      </c>
      <c r="C4" s="2">
        <f>B4*(0.875)</f>
        <v>0.48389425000000003</v>
      </c>
      <c r="D4" s="5">
        <f t="shared" ref="D4:D14" si="0">B4*$E$1/100</f>
        <v>55.302199999999999</v>
      </c>
      <c r="E4" s="5">
        <f t="shared" ref="E4:E14" si="1">C4*$E$1/100</f>
        <v>48.389425000000003</v>
      </c>
    </row>
    <row r="5" spans="1:5">
      <c r="A5" s="1">
        <v>46371</v>
      </c>
      <c r="B5" s="6">
        <v>1.65</v>
      </c>
      <c r="C5">
        <f t="shared" ref="C5:C17" si="2">B5*(0.875)</f>
        <v>1.4437499999999999</v>
      </c>
      <c r="D5" s="5">
        <f t="shared" si="0"/>
        <v>165</v>
      </c>
      <c r="E5" s="5">
        <f t="shared" si="1"/>
        <v>144.37499999999997</v>
      </c>
    </row>
    <row r="6" spans="1:5">
      <c r="A6" s="1">
        <v>46553</v>
      </c>
      <c r="B6" s="3">
        <f>B5</f>
        <v>1.65</v>
      </c>
      <c r="C6">
        <f t="shared" si="2"/>
        <v>1.4437499999999999</v>
      </c>
      <c r="D6" s="5">
        <f t="shared" si="0"/>
        <v>165</v>
      </c>
      <c r="E6" s="5">
        <f t="shared" si="1"/>
        <v>144.37499999999997</v>
      </c>
    </row>
    <row r="7" spans="1:5">
      <c r="A7" s="1">
        <v>46736</v>
      </c>
      <c r="B7" s="3">
        <f t="shared" ref="B7:B17" si="3">B6</f>
        <v>1.65</v>
      </c>
      <c r="C7">
        <f t="shared" si="2"/>
        <v>1.4437499999999999</v>
      </c>
      <c r="D7" s="5">
        <f t="shared" si="0"/>
        <v>165</v>
      </c>
      <c r="E7" s="5">
        <f t="shared" si="1"/>
        <v>144.37499999999997</v>
      </c>
    </row>
    <row r="8" spans="1:5">
      <c r="A8" s="1">
        <v>46919</v>
      </c>
      <c r="B8" s="3">
        <f t="shared" si="3"/>
        <v>1.65</v>
      </c>
      <c r="C8">
        <f t="shared" si="2"/>
        <v>1.4437499999999999</v>
      </c>
      <c r="D8" s="5">
        <f t="shared" si="0"/>
        <v>165</v>
      </c>
      <c r="E8" s="5">
        <f t="shared" si="1"/>
        <v>144.37499999999997</v>
      </c>
    </row>
    <row r="9" spans="1:5">
      <c r="A9" s="1">
        <v>47102</v>
      </c>
      <c r="B9" s="3">
        <f t="shared" si="3"/>
        <v>1.65</v>
      </c>
      <c r="C9">
        <f t="shared" si="2"/>
        <v>1.4437499999999999</v>
      </c>
      <c r="D9" s="5">
        <f t="shared" si="0"/>
        <v>165</v>
      </c>
      <c r="E9" s="5">
        <f t="shared" si="1"/>
        <v>144.37499999999997</v>
      </c>
    </row>
    <row r="10" spans="1:5">
      <c r="A10" s="1">
        <v>47284</v>
      </c>
      <c r="B10" s="3">
        <f t="shared" si="3"/>
        <v>1.65</v>
      </c>
      <c r="C10">
        <f t="shared" si="2"/>
        <v>1.4437499999999999</v>
      </c>
      <c r="D10" s="5">
        <f t="shared" si="0"/>
        <v>165</v>
      </c>
      <c r="E10" s="5">
        <f t="shared" si="1"/>
        <v>144.37499999999997</v>
      </c>
    </row>
    <row r="11" spans="1:5">
      <c r="A11" s="1">
        <v>47467</v>
      </c>
      <c r="B11" s="3">
        <f t="shared" si="3"/>
        <v>1.65</v>
      </c>
      <c r="C11">
        <f t="shared" si="2"/>
        <v>1.4437499999999999</v>
      </c>
      <c r="D11" s="5">
        <f t="shared" si="0"/>
        <v>165</v>
      </c>
      <c r="E11" s="5">
        <f t="shared" si="1"/>
        <v>144.37499999999997</v>
      </c>
    </row>
    <row r="12" spans="1:5">
      <c r="A12" s="1">
        <v>47649</v>
      </c>
      <c r="B12" s="3">
        <f t="shared" si="3"/>
        <v>1.65</v>
      </c>
      <c r="C12">
        <f t="shared" si="2"/>
        <v>1.4437499999999999</v>
      </c>
      <c r="D12" s="5">
        <f t="shared" si="0"/>
        <v>165</v>
      </c>
      <c r="E12" s="5">
        <f t="shared" si="1"/>
        <v>144.37499999999997</v>
      </c>
    </row>
    <row r="13" spans="1:5">
      <c r="A13" s="1">
        <v>47832</v>
      </c>
      <c r="B13" s="3">
        <f t="shared" si="3"/>
        <v>1.65</v>
      </c>
      <c r="C13">
        <f t="shared" si="2"/>
        <v>1.4437499999999999</v>
      </c>
      <c r="D13" s="5">
        <f t="shared" si="0"/>
        <v>165</v>
      </c>
      <c r="E13" s="5">
        <f t="shared" si="1"/>
        <v>144.37499999999997</v>
      </c>
    </row>
    <row r="14" spans="1:5">
      <c r="A14" s="1">
        <v>48014</v>
      </c>
      <c r="B14" s="3">
        <f t="shared" si="3"/>
        <v>1.65</v>
      </c>
      <c r="C14">
        <f t="shared" si="2"/>
        <v>1.4437499999999999</v>
      </c>
      <c r="D14" s="5">
        <f t="shared" si="0"/>
        <v>165</v>
      </c>
      <c r="E14" s="5">
        <f t="shared" si="1"/>
        <v>144.37499999999997</v>
      </c>
    </row>
    <row r="15" spans="1:5">
      <c r="A15" s="1">
        <v>48197</v>
      </c>
      <c r="B15" s="3">
        <f t="shared" si="3"/>
        <v>1.65</v>
      </c>
      <c r="C15">
        <f t="shared" si="2"/>
        <v>1.4437499999999999</v>
      </c>
      <c r="D15" s="5">
        <f t="shared" ref="D15:D18" si="4">B15*$E$1/100</f>
        <v>165</v>
      </c>
      <c r="E15" s="5">
        <f t="shared" ref="E15:E18" si="5">C15*$E$1/100</f>
        <v>144.37499999999997</v>
      </c>
    </row>
    <row r="16" spans="1:5">
      <c r="A16" s="1">
        <v>48380</v>
      </c>
      <c r="B16" s="3">
        <f t="shared" si="3"/>
        <v>1.65</v>
      </c>
      <c r="C16">
        <f t="shared" si="2"/>
        <v>1.4437499999999999</v>
      </c>
      <c r="D16" s="5">
        <f t="shared" si="4"/>
        <v>165</v>
      </c>
      <c r="E16" s="5">
        <f t="shared" si="5"/>
        <v>144.37499999999997</v>
      </c>
    </row>
    <row r="17" spans="1:5">
      <c r="A17" s="1">
        <v>48563</v>
      </c>
      <c r="B17" s="3">
        <f t="shared" si="3"/>
        <v>1.65</v>
      </c>
      <c r="C17">
        <f t="shared" si="2"/>
        <v>1.4437499999999999</v>
      </c>
      <c r="D17" s="5">
        <f t="shared" si="4"/>
        <v>165</v>
      </c>
      <c r="E17" s="5">
        <f t="shared" si="5"/>
        <v>144.37499999999997</v>
      </c>
    </row>
    <row r="18" spans="1:5">
      <c r="A18" s="1">
        <v>48745</v>
      </c>
      <c r="B18" s="3">
        <f>B13+100</f>
        <v>101.65</v>
      </c>
      <c r="C18">
        <f>(B18-100)*(0.875)+100-(100+B3)*0.125</f>
        <v>101.30125000000001</v>
      </c>
      <c r="D18" s="5">
        <f t="shared" si="4"/>
        <v>10165</v>
      </c>
      <c r="E18" s="5">
        <f t="shared" si="5"/>
        <v>10130.125000000002</v>
      </c>
    </row>
    <row r="20" spans="1:5">
      <c r="E20" s="7">
        <f>XIRR(E3:E18,A3:A18)</f>
        <v>3.0942925810813905E-2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66DF-5473-5E45-A279-1EF8AD5CD582}">
  <dimension ref="A1:C6"/>
  <sheetViews>
    <sheetView zoomScale="150" workbookViewId="0">
      <selection activeCell="C4" sqref="C4"/>
    </sheetView>
  </sheetViews>
  <sheetFormatPr baseColWidth="10" defaultRowHeight="14"/>
  <sheetData>
    <row r="1" spans="1:3">
      <c r="A1">
        <v>1</v>
      </c>
      <c r="B1">
        <f>A1+6</f>
        <v>7</v>
      </c>
    </row>
    <row r="2" spans="1:3">
      <c r="A2">
        <v>2</v>
      </c>
      <c r="B2">
        <f t="shared" ref="B2:B6" si="0">A2+6</f>
        <v>8</v>
      </c>
      <c r="C2" t="s">
        <v>6</v>
      </c>
    </row>
    <row r="3" spans="1:3">
      <c r="A3">
        <v>3</v>
      </c>
      <c r="B3">
        <f t="shared" si="0"/>
        <v>9</v>
      </c>
      <c r="C3" t="s">
        <v>6</v>
      </c>
    </row>
    <row r="4" spans="1:3">
      <c r="A4">
        <v>4</v>
      </c>
      <c r="B4">
        <f t="shared" si="0"/>
        <v>10</v>
      </c>
      <c r="C4" t="s">
        <v>6</v>
      </c>
    </row>
    <row r="5" spans="1:3">
      <c r="A5">
        <v>5</v>
      </c>
      <c r="B5">
        <f t="shared" si="0"/>
        <v>11</v>
      </c>
      <c r="C5" t="s">
        <v>6</v>
      </c>
    </row>
    <row r="6" spans="1:3">
      <c r="A6">
        <v>6</v>
      </c>
      <c r="B6">
        <f t="shared" si="0"/>
        <v>12</v>
      </c>
      <c r="C6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9EDC-2DFA-2F41-BECC-FA22C99AEAF9}">
  <dimension ref="A1:E16"/>
  <sheetViews>
    <sheetView zoomScale="160" zoomScaleNormal="160" workbookViewId="0">
      <selection activeCell="E2" sqref="E2"/>
    </sheetView>
  </sheetViews>
  <sheetFormatPr baseColWidth="10" defaultRowHeight="14"/>
  <sheetData>
    <row r="1" spans="1:5">
      <c r="A1" t="s">
        <v>3</v>
      </c>
      <c r="D1" t="s">
        <v>2</v>
      </c>
      <c r="E1" s="4" t="e">
        <f>#REF!</f>
        <v>#REF!</v>
      </c>
    </row>
    <row r="2" spans="1:5">
      <c r="B2" t="s">
        <v>0</v>
      </c>
      <c r="C2" t="s">
        <v>1</v>
      </c>
      <c r="D2" t="str">
        <f>B2</f>
        <v>Lordisti</v>
      </c>
      <c r="E2" t="str">
        <f>C2</f>
        <v>Nettisti</v>
      </c>
    </row>
    <row r="3" spans="1:5">
      <c r="A3" s="1">
        <v>46146</v>
      </c>
      <c r="B3" s="6">
        <v>-99.34</v>
      </c>
      <c r="C3" s="3">
        <f>B3</f>
        <v>-99.34</v>
      </c>
      <c r="D3" s="5" t="e">
        <f>B3*$E$1/100</f>
        <v>#REF!</v>
      </c>
      <c r="E3" s="5" t="e">
        <f>C3*$E$1/100</f>
        <v>#REF!</v>
      </c>
    </row>
    <row r="4" spans="1:5">
      <c r="A4" s="1">
        <v>46174</v>
      </c>
      <c r="B4" s="6">
        <v>0.242308</v>
      </c>
      <c r="C4">
        <f>B4*(0.875)</f>
        <v>0.2120195</v>
      </c>
      <c r="D4" s="5" t="e">
        <f t="shared" ref="D4:D14" si="0">B4*$E$1/100</f>
        <v>#REF!</v>
      </c>
      <c r="E4" s="5" t="e">
        <f t="shared" ref="E4:E14" si="1">C4*$E$1/100</f>
        <v>#REF!</v>
      </c>
    </row>
    <row r="5" spans="1:5">
      <c r="A5" s="1">
        <v>46357</v>
      </c>
      <c r="B5" s="3">
        <f>3.15/2</f>
        <v>1.575</v>
      </c>
      <c r="C5">
        <f t="shared" ref="C5:C13" si="2">B5*(0.875)</f>
        <v>1.378125</v>
      </c>
      <c r="D5" s="5" t="e">
        <f t="shared" si="0"/>
        <v>#REF!</v>
      </c>
      <c r="E5" s="5" t="e">
        <f t="shared" si="1"/>
        <v>#REF!</v>
      </c>
    </row>
    <row r="6" spans="1:5">
      <c r="A6" s="1">
        <v>46539</v>
      </c>
      <c r="B6" s="3">
        <f>B5</f>
        <v>1.575</v>
      </c>
      <c r="C6">
        <f t="shared" si="2"/>
        <v>1.378125</v>
      </c>
      <c r="D6" s="5" t="e">
        <f t="shared" si="0"/>
        <v>#REF!</v>
      </c>
      <c r="E6" s="5" t="e">
        <f t="shared" si="1"/>
        <v>#REF!</v>
      </c>
    </row>
    <row r="7" spans="1:5">
      <c r="A7" s="1">
        <v>46722</v>
      </c>
      <c r="B7" s="3">
        <f t="shared" ref="B7:B13" si="3">B6</f>
        <v>1.575</v>
      </c>
      <c r="C7">
        <f t="shared" si="2"/>
        <v>1.378125</v>
      </c>
      <c r="D7" s="5" t="e">
        <f t="shared" si="0"/>
        <v>#REF!</v>
      </c>
      <c r="E7" s="5" t="e">
        <f t="shared" si="1"/>
        <v>#REF!</v>
      </c>
    </row>
    <row r="8" spans="1:5">
      <c r="A8" s="1">
        <v>46905</v>
      </c>
      <c r="B8" s="3">
        <f t="shared" si="3"/>
        <v>1.575</v>
      </c>
      <c r="C8">
        <f t="shared" si="2"/>
        <v>1.378125</v>
      </c>
      <c r="D8" s="5" t="e">
        <f t="shared" si="0"/>
        <v>#REF!</v>
      </c>
      <c r="E8" s="5" t="e">
        <f t="shared" si="1"/>
        <v>#REF!</v>
      </c>
    </row>
    <row r="9" spans="1:5">
      <c r="A9" s="1">
        <v>47088</v>
      </c>
      <c r="B9" s="3">
        <f t="shared" si="3"/>
        <v>1.575</v>
      </c>
      <c r="C9">
        <f t="shared" si="2"/>
        <v>1.378125</v>
      </c>
      <c r="D9" s="5" t="e">
        <f t="shared" si="0"/>
        <v>#REF!</v>
      </c>
      <c r="E9" s="5" t="e">
        <f t="shared" si="1"/>
        <v>#REF!</v>
      </c>
    </row>
    <row r="10" spans="1:5">
      <c r="A10" s="1">
        <v>47270</v>
      </c>
      <c r="B10" s="3">
        <f t="shared" si="3"/>
        <v>1.575</v>
      </c>
      <c r="C10">
        <f t="shared" si="2"/>
        <v>1.378125</v>
      </c>
      <c r="D10" s="5" t="e">
        <f t="shared" si="0"/>
        <v>#REF!</v>
      </c>
      <c r="E10" s="5" t="e">
        <f t="shared" si="1"/>
        <v>#REF!</v>
      </c>
    </row>
    <row r="11" spans="1:5">
      <c r="A11" s="1">
        <v>47453</v>
      </c>
      <c r="B11" s="3">
        <f t="shared" si="3"/>
        <v>1.575</v>
      </c>
      <c r="C11">
        <f t="shared" si="2"/>
        <v>1.378125</v>
      </c>
      <c r="D11" s="5" t="e">
        <f t="shared" si="0"/>
        <v>#REF!</v>
      </c>
      <c r="E11" s="5" t="e">
        <f t="shared" si="1"/>
        <v>#REF!</v>
      </c>
    </row>
    <row r="12" spans="1:5">
      <c r="A12" s="1">
        <v>47635</v>
      </c>
      <c r="B12" s="3">
        <f t="shared" si="3"/>
        <v>1.575</v>
      </c>
      <c r="C12">
        <f t="shared" si="2"/>
        <v>1.378125</v>
      </c>
      <c r="D12" s="5" t="e">
        <f t="shared" si="0"/>
        <v>#REF!</v>
      </c>
      <c r="E12" s="5" t="e">
        <f t="shared" si="1"/>
        <v>#REF!</v>
      </c>
    </row>
    <row r="13" spans="1:5">
      <c r="A13" s="1">
        <v>47818</v>
      </c>
      <c r="B13" s="3">
        <f t="shared" si="3"/>
        <v>1.575</v>
      </c>
      <c r="C13">
        <f t="shared" si="2"/>
        <v>1.378125</v>
      </c>
      <c r="D13" s="5" t="e">
        <f t="shared" si="0"/>
        <v>#REF!</v>
      </c>
      <c r="E13" s="5" t="e">
        <f t="shared" si="1"/>
        <v>#REF!</v>
      </c>
    </row>
    <row r="14" spans="1:5">
      <c r="A14" s="1">
        <v>48000</v>
      </c>
      <c r="B14" s="3">
        <f>B13+100</f>
        <v>101.575</v>
      </c>
      <c r="C14">
        <f>(B14-100)*(0.875)+100-(100+B3)*0.125</f>
        <v>101.295625</v>
      </c>
      <c r="D14" s="5" t="e">
        <f t="shared" si="0"/>
        <v>#REF!</v>
      </c>
      <c r="E14" s="5" t="e">
        <f t="shared" si="1"/>
        <v>#REF!</v>
      </c>
    </row>
    <row r="16" spans="1:5">
      <c r="E16" s="7" t="e">
        <f>XIRR(E3:E14,A3:A14)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Sheet4</vt:lpstr>
      <vt:lpstr>CashFlowMatching</vt:lpstr>
      <vt:lpstr>IT0005094088</vt:lpstr>
      <vt:lpstr>IT0005619546</vt:lpstr>
      <vt:lpstr>IT0005422891</vt:lpstr>
      <vt:lpstr>IT0005580094</vt:lpstr>
      <vt:lpstr>IT0005704868</vt:lpstr>
      <vt:lpstr>Stagger</vt:lpstr>
      <vt:lpstr>IT0005707614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Vanzini</dc:creator>
  <cp:lastModifiedBy>Rodolfo Vanzini</cp:lastModifiedBy>
  <dcterms:created xsi:type="dcterms:W3CDTF">2026-06-16T07:41:18Z</dcterms:created>
  <dcterms:modified xsi:type="dcterms:W3CDTF">2026-06-23T11:59:15Z</dcterms:modified>
</cp:coreProperties>
</file>